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2370" windowWidth="12780" windowHeight="9210" tabRatio="918" firstSheet="2" activeTab="2"/>
  </bookViews>
  <sheets>
    <sheet name="2013-14 LOW" sheetId="3" state="hidden" r:id="rId1"/>
    <sheet name="2013-14 HIGH" sheetId="5" state="hidden" r:id="rId2"/>
    <sheet name="Initiative-Reserve Proj ACTIVE" sheetId="23" r:id="rId3"/>
    <sheet name="2014-15 Planning ACTIVE" sheetId="19" r:id="rId4"/>
    <sheet name="Enrollment Growth" sheetId="22" r:id="rId5"/>
    <sheet name="Enrollment" sheetId="14" r:id="rId6"/>
    <sheet name="2013-14 Best Guess (70%,20%)" sheetId="11" state="hidden" r:id="rId7"/>
    <sheet name="2013-14 Best Guess front load" sheetId="9" state="hidden" r:id="rId8"/>
    <sheet name="2013-14 Best Guess built out" sheetId="8" state="hidden" r:id="rId9"/>
    <sheet name="2013-14 B" sheetId="4" state="hidden" r:id="rId10"/>
    <sheet name="2013-14 C" sheetId="1" state="hidden" r:id="rId11"/>
    <sheet name="t" sheetId="2" state="hidden" r:id="rId12"/>
    <sheet name="2013-14 D Best Guess No CSU EG" sheetId="7" state="hidden" r:id="rId13"/>
  </sheets>
  <definedNames>
    <definedName name="_xlnm.Print_Area" localSheetId="9">'2013-14 B'!$A$1:$I$86</definedName>
    <definedName name="_xlnm.Print_Area" localSheetId="6">'2013-14 Best Guess (70%,20%)'!$A$1:$J$67</definedName>
    <definedName name="_xlnm.Print_Area" localSheetId="8">'2013-14 Best Guess built out'!$A$1:$J$70</definedName>
    <definedName name="_xlnm.Print_Area" localSheetId="7">'2013-14 Best Guess front load'!$A$1:$J$69</definedName>
    <definedName name="_xlnm.Print_Area" localSheetId="10">'2013-14 C'!$A$1:$I$86</definedName>
    <definedName name="_xlnm.Print_Area" localSheetId="12">'2013-14 D Best Guess No CSU EG'!$A$1:$J$67</definedName>
    <definedName name="_xlnm.Print_Area" localSheetId="1">'2013-14 HIGH'!$A$1:$I$88</definedName>
    <definedName name="_xlnm.Print_Area" localSheetId="0">'2013-14 LOW'!$A$1:$J$66</definedName>
    <definedName name="_xlnm.Print_Area" localSheetId="3">'2014-15 Planning ACTIVE'!$A$2:$I$73</definedName>
    <definedName name="_xlnm.Print_Area" localSheetId="2">'Initiative-Reserve Proj ACTIVE'!$A$2:$I$72</definedName>
    <definedName name="_xlnm.Print_Titles" localSheetId="9">'2013-14 B'!$1:$1</definedName>
    <definedName name="_xlnm.Print_Titles" localSheetId="6">'2013-14 Best Guess (70%,20%)'!$1:$1</definedName>
    <definedName name="_xlnm.Print_Titles" localSheetId="8">'2013-14 Best Guess built out'!$1:$1</definedName>
    <definedName name="_xlnm.Print_Titles" localSheetId="7">'2013-14 Best Guess front load'!$1:$1</definedName>
    <definedName name="_xlnm.Print_Titles" localSheetId="10">'2013-14 C'!$1:$1</definedName>
    <definedName name="_xlnm.Print_Titles" localSheetId="12">'2013-14 D Best Guess No CSU EG'!$1:$1</definedName>
    <definedName name="_xlnm.Print_Titles" localSheetId="1">'2013-14 HIGH'!$1:$1</definedName>
    <definedName name="_xlnm.Print_Titles" localSheetId="0">'2013-14 LOW'!$1:$1</definedName>
    <definedName name="_xlnm.Print_Titles" localSheetId="3">'2014-15 Planning ACTIVE'!$2:$2</definedName>
    <definedName name="_xlnm.Print_Titles" localSheetId="2">'Initiative-Reserve Proj ACTIVE'!$2:$2</definedName>
  </definedNames>
  <calcPr calcId="145621"/>
</workbook>
</file>

<file path=xl/calcChain.xml><?xml version="1.0" encoding="utf-8"?>
<calcChain xmlns="http://schemas.openxmlformats.org/spreadsheetml/2006/main">
  <c r="J36" i="23" l="1"/>
  <c r="I36" i="23"/>
  <c r="H36" i="23"/>
  <c r="G36" i="23"/>
  <c r="F36" i="23"/>
  <c r="H44" i="19" l="1"/>
  <c r="G44" i="19"/>
  <c r="H36" i="19"/>
  <c r="I36" i="19"/>
  <c r="G36" i="19"/>
  <c r="E58" i="19" l="1"/>
  <c r="I50" i="19" l="1"/>
  <c r="H50" i="19"/>
  <c r="F20" i="19" l="1"/>
  <c r="F36" i="19" l="1"/>
  <c r="J62" i="23" l="1"/>
  <c r="H72" i="23"/>
  <c r="I52" i="23"/>
  <c r="H52" i="23"/>
  <c r="G52" i="23"/>
  <c r="F52" i="23"/>
  <c r="E52" i="23"/>
  <c r="D52" i="23"/>
  <c r="C52" i="23"/>
  <c r="J50" i="23"/>
  <c r="J52" i="23" s="1"/>
  <c r="E44" i="23"/>
  <c r="D44" i="23"/>
  <c r="C44" i="23"/>
  <c r="J42" i="23"/>
  <c r="I38" i="23"/>
  <c r="H38" i="23"/>
  <c r="G38" i="23"/>
  <c r="F38" i="23"/>
  <c r="G35" i="23"/>
  <c r="H35" i="23" s="1"/>
  <c r="I35" i="23" s="1"/>
  <c r="J35" i="23" s="1"/>
  <c r="F33" i="23"/>
  <c r="F32" i="23"/>
  <c r="G32" i="23" s="1"/>
  <c r="E29" i="23"/>
  <c r="C29" i="23"/>
  <c r="D28" i="23"/>
  <c r="C28" i="23"/>
  <c r="F28" i="23" s="1"/>
  <c r="D27" i="23"/>
  <c r="F25" i="23"/>
  <c r="E21" i="23"/>
  <c r="D20" i="23"/>
  <c r="C20" i="23"/>
  <c r="F20" i="23" s="1"/>
  <c r="G20" i="23" s="1"/>
  <c r="H20" i="23" s="1"/>
  <c r="I20" i="23" s="1"/>
  <c r="L19" i="23"/>
  <c r="L17" i="23"/>
  <c r="E15" i="23"/>
  <c r="F10" i="23" s="1"/>
  <c r="D15" i="23"/>
  <c r="D22" i="23" s="1"/>
  <c r="C15" i="23"/>
  <c r="C22" i="23" s="1"/>
  <c r="G13" i="23"/>
  <c r="F13" i="23"/>
  <c r="J12" i="23"/>
  <c r="J38" i="23" s="1"/>
  <c r="J11" i="23"/>
  <c r="I11" i="23"/>
  <c r="H11" i="23"/>
  <c r="G11" i="23"/>
  <c r="F11" i="23"/>
  <c r="L11" i="23" s="1"/>
  <c r="J5" i="23"/>
  <c r="F5" i="23"/>
  <c r="J4" i="23"/>
  <c r="I4" i="23"/>
  <c r="H4" i="23"/>
  <c r="G4" i="23"/>
  <c r="F4" i="23"/>
  <c r="C45" i="23" l="1"/>
  <c r="C53" i="23" s="1"/>
  <c r="D29" i="23"/>
  <c r="D45" i="23" s="1"/>
  <c r="D53" i="23" s="1"/>
  <c r="F27" i="23"/>
  <c r="F29" i="23" s="1"/>
  <c r="E45" i="23"/>
  <c r="E62" i="23" s="1"/>
  <c r="C46" i="23"/>
  <c r="E22" i="23"/>
  <c r="H32" i="23"/>
  <c r="G44" i="23"/>
  <c r="F21" i="23"/>
  <c r="F15" i="23"/>
  <c r="G10" i="23" s="1"/>
  <c r="G15" i="23" s="1"/>
  <c r="H10" i="23" s="1"/>
  <c r="H15" i="23" s="1"/>
  <c r="I10" i="23" s="1"/>
  <c r="I15" i="23" s="1"/>
  <c r="J10" i="23" s="1"/>
  <c r="J15" i="23" s="1"/>
  <c r="F44" i="23"/>
  <c r="E59" i="23" l="1"/>
  <c r="E53" i="23"/>
  <c r="E55" i="23" s="1"/>
  <c r="G29" i="23"/>
  <c r="G45" i="23" s="1"/>
  <c r="G62" i="23" s="1"/>
  <c r="D46" i="23"/>
  <c r="G21" i="23"/>
  <c r="G22" i="23" s="1"/>
  <c r="E57" i="23"/>
  <c r="E61" i="23" s="1"/>
  <c r="F22" i="23"/>
  <c r="F45" i="23"/>
  <c r="F62" i="23" s="1"/>
  <c r="H44" i="23"/>
  <c r="I32" i="23"/>
  <c r="C28" i="22"/>
  <c r="C15" i="22"/>
  <c r="E63" i="23" l="1"/>
  <c r="H29" i="23"/>
  <c r="H45" i="23" s="1"/>
  <c r="H62" i="23" s="1"/>
  <c r="F7" i="23"/>
  <c r="E58" i="23"/>
  <c r="H21" i="23"/>
  <c r="H22" i="23" s="1"/>
  <c r="J32" i="23"/>
  <c r="J44" i="23" s="1"/>
  <c r="I44" i="23"/>
  <c r="F59" i="23"/>
  <c r="F53" i="23"/>
  <c r="F55" i="23" s="1"/>
  <c r="G46" i="23"/>
  <c r="F46" i="23"/>
  <c r="G59" i="23"/>
  <c r="G53" i="23"/>
  <c r="G55" i="23" s="1"/>
  <c r="B19" i="22"/>
  <c r="A19" i="22"/>
  <c r="B5" i="22"/>
  <c r="B4" i="22"/>
  <c r="A5" i="22"/>
  <c r="A4" i="22"/>
  <c r="F11" i="19"/>
  <c r="B7" i="14"/>
  <c r="B6" i="14"/>
  <c r="I29" i="23" l="1"/>
  <c r="I45" i="23" s="1"/>
  <c r="I62" i="23" s="1"/>
  <c r="H59" i="23"/>
  <c r="H53" i="23"/>
  <c r="H55" i="23" s="1"/>
  <c r="F57" i="23"/>
  <c r="F58" i="23" s="1"/>
  <c r="I21" i="23"/>
  <c r="I22" i="23" s="1"/>
  <c r="J20" i="23"/>
  <c r="J21" i="23" s="1"/>
  <c r="J22" i="23" s="1"/>
  <c r="H46" i="23"/>
  <c r="B6" i="22"/>
  <c r="B24" i="22"/>
  <c r="B22" i="22"/>
  <c r="B25" i="22"/>
  <c r="B26" i="22"/>
  <c r="B23" i="22"/>
  <c r="B27" i="22"/>
  <c r="J29" i="23" l="1"/>
  <c r="J45" i="23" s="1"/>
  <c r="J46" i="23" s="1"/>
  <c r="F61" i="23"/>
  <c r="F63" i="23"/>
  <c r="G7" i="23"/>
  <c r="G57" i="23" s="1"/>
  <c r="G58" i="23" s="1"/>
  <c r="I59" i="23"/>
  <c r="I53" i="23"/>
  <c r="I55" i="23" s="1"/>
  <c r="I46" i="23"/>
  <c r="B13" i="22"/>
  <c r="B9" i="22"/>
  <c r="B12" i="22"/>
  <c r="B14" i="22"/>
  <c r="B11" i="22"/>
  <c r="B10" i="22"/>
  <c r="B28" i="22"/>
  <c r="J59" i="23" l="1"/>
  <c r="J63" i="23" s="1"/>
  <c r="J53" i="23"/>
  <c r="J55" i="23" s="1"/>
  <c r="G63" i="23"/>
  <c r="G61" i="23"/>
  <c r="H7" i="23"/>
  <c r="H57" i="23" s="1"/>
  <c r="H58" i="23" s="1"/>
  <c r="B15" i="22"/>
  <c r="H63" i="23" l="1"/>
  <c r="H61" i="23"/>
  <c r="I7" i="23"/>
  <c r="I57" i="23" s="1"/>
  <c r="I58" i="23" s="1"/>
  <c r="I61" i="23" l="1"/>
  <c r="I63" i="23"/>
  <c r="J7" i="23"/>
  <c r="J57" i="23" s="1"/>
  <c r="J61" i="23" s="1"/>
  <c r="J58" i="23" l="1"/>
  <c r="C6" i="14"/>
  <c r="I11" i="19"/>
  <c r="H11" i="19"/>
  <c r="G11" i="19"/>
  <c r="H71" i="19" l="1"/>
  <c r="J61" i="19"/>
  <c r="G52" i="19"/>
  <c r="F52" i="19"/>
  <c r="E52" i="19"/>
  <c r="D52" i="19"/>
  <c r="C52" i="19"/>
  <c r="J50" i="19"/>
  <c r="J52" i="19" s="1"/>
  <c r="H52" i="19"/>
  <c r="E44" i="19"/>
  <c r="D44" i="19"/>
  <c r="C44" i="19"/>
  <c r="H42" i="19"/>
  <c r="I42" i="19" s="1"/>
  <c r="J42" i="19" s="1"/>
  <c r="F42" i="19"/>
  <c r="G38" i="19"/>
  <c r="J36" i="19"/>
  <c r="G35" i="19"/>
  <c r="H35" i="19" s="1"/>
  <c r="I35" i="19" s="1"/>
  <c r="J35" i="19" s="1"/>
  <c r="F33" i="19"/>
  <c r="F32" i="19"/>
  <c r="E29" i="19"/>
  <c r="C29" i="19"/>
  <c r="D28" i="19"/>
  <c r="C28" i="19"/>
  <c r="F28" i="19" s="1"/>
  <c r="F27" i="19"/>
  <c r="D27" i="19"/>
  <c r="D29" i="19" s="1"/>
  <c r="D45" i="19" s="1"/>
  <c r="D53" i="19" s="1"/>
  <c r="F25" i="19"/>
  <c r="F29" i="19" s="1"/>
  <c r="E21" i="19"/>
  <c r="E22" i="19" s="1"/>
  <c r="D20" i="19"/>
  <c r="C20" i="19"/>
  <c r="E15" i="19"/>
  <c r="F10" i="19" s="1"/>
  <c r="D15" i="19"/>
  <c r="D22" i="19" s="1"/>
  <c r="C15" i="19"/>
  <c r="C22" i="19" s="1"/>
  <c r="G13" i="19"/>
  <c r="F13" i="19"/>
  <c r="J12" i="19"/>
  <c r="J38" i="19" s="1"/>
  <c r="I38" i="19"/>
  <c r="H38" i="19"/>
  <c r="F38" i="19"/>
  <c r="J11" i="19"/>
  <c r="F4" i="19"/>
  <c r="C45" i="19" l="1"/>
  <c r="C53" i="19" s="1"/>
  <c r="C46" i="19"/>
  <c r="E45" i="19"/>
  <c r="E59" i="19" s="1"/>
  <c r="D46" i="19"/>
  <c r="F15" i="19"/>
  <c r="G10" i="19" s="1"/>
  <c r="G15" i="19" s="1"/>
  <c r="H10" i="19" s="1"/>
  <c r="H15" i="19" s="1"/>
  <c r="I10" i="19" s="1"/>
  <c r="I15" i="19" s="1"/>
  <c r="J10" i="19" s="1"/>
  <c r="J15" i="19" s="1"/>
  <c r="F44" i="19"/>
  <c r="F45" i="19" s="1"/>
  <c r="G20" i="19"/>
  <c r="F21" i="19"/>
  <c r="E61" i="19"/>
  <c r="I52" i="19"/>
  <c r="G32" i="19"/>
  <c r="E53" i="19" l="1"/>
  <c r="E55" i="19" s="1"/>
  <c r="F22" i="19"/>
  <c r="F61" i="19"/>
  <c r="F59" i="19"/>
  <c r="F53" i="19"/>
  <c r="H32" i="19"/>
  <c r="G21" i="19"/>
  <c r="G22" i="19" s="1"/>
  <c r="H20" i="19"/>
  <c r="G29" i="19"/>
  <c r="E57" i="19" l="1"/>
  <c r="F7" i="19" s="1"/>
  <c r="F57" i="19" s="1"/>
  <c r="F58" i="19" s="1"/>
  <c r="F55" i="19"/>
  <c r="F46" i="19"/>
  <c r="G45" i="19"/>
  <c r="G46" i="19" s="1"/>
  <c r="H29" i="19"/>
  <c r="H21" i="19"/>
  <c r="H22" i="19" s="1"/>
  <c r="I20" i="19"/>
  <c r="E62" i="19"/>
  <c r="E60" i="19"/>
  <c r="I32" i="19"/>
  <c r="J32" i="19" l="1"/>
  <c r="J44" i="19" s="1"/>
  <c r="I44" i="19"/>
  <c r="J20" i="19"/>
  <c r="J21" i="19" s="1"/>
  <c r="J22" i="19" s="1"/>
  <c r="I21" i="19"/>
  <c r="I22" i="19" s="1"/>
  <c r="I29" i="19"/>
  <c r="H45" i="19"/>
  <c r="H46" i="19" s="1"/>
  <c r="F62" i="19"/>
  <c r="F60" i="19"/>
  <c r="G7" i="19"/>
  <c r="G61" i="19"/>
  <c r="G59" i="19"/>
  <c r="G53" i="19"/>
  <c r="G55" i="19" s="1"/>
  <c r="G57" i="19" l="1"/>
  <c r="G58" i="19" s="1"/>
  <c r="H61" i="19"/>
  <c r="H59" i="19"/>
  <c r="H53" i="19"/>
  <c r="H55" i="19" s="1"/>
  <c r="J29" i="19"/>
  <c r="J45" i="19" s="1"/>
  <c r="J46" i="19" s="1"/>
  <c r="I45" i="19"/>
  <c r="I46" i="19" s="1"/>
  <c r="I53" i="19" l="1"/>
  <c r="I55" i="19" s="1"/>
  <c r="I61" i="19"/>
  <c r="I59" i="19"/>
  <c r="J59" i="19"/>
  <c r="J62" i="19" s="1"/>
  <c r="J53" i="19"/>
  <c r="J55" i="19" s="1"/>
  <c r="G62" i="19"/>
  <c r="G60" i="19"/>
  <c r="H7" i="19"/>
  <c r="H57" i="19" s="1"/>
  <c r="H58" i="19" s="1"/>
  <c r="I7" i="19" l="1"/>
  <c r="I57" i="19" s="1"/>
  <c r="I58" i="19" s="1"/>
  <c r="H62" i="19"/>
  <c r="H60" i="19"/>
  <c r="J7" i="19" l="1"/>
  <c r="J57" i="19" s="1"/>
  <c r="J58" i="19" s="1"/>
  <c r="I62" i="19"/>
  <c r="I60" i="19"/>
  <c r="J60" i="19" l="1"/>
  <c r="D2" i="14" l="1"/>
  <c r="F5" i="19" l="1"/>
  <c r="G4" i="19"/>
  <c r="C7" i="14"/>
  <c r="E2" i="14"/>
  <c r="D6" i="14"/>
  <c r="G5" i="23" s="1"/>
  <c r="G5" i="19" l="1"/>
  <c r="D7" i="14"/>
  <c r="F2" i="14"/>
  <c r="H4" i="19"/>
  <c r="E6" i="14"/>
  <c r="H5" i="23" s="1"/>
  <c r="J15" i="11"/>
  <c r="I15" i="11"/>
  <c r="H15" i="11"/>
  <c r="G15" i="11"/>
  <c r="H5" i="19" l="1"/>
  <c r="E7" i="14"/>
  <c r="I4" i="19"/>
  <c r="F6" i="14"/>
  <c r="I5" i="23" s="1"/>
  <c r="F20" i="8"/>
  <c r="E20" i="8"/>
  <c r="D20" i="8"/>
  <c r="F20" i="9"/>
  <c r="E20" i="9"/>
  <c r="D20" i="9"/>
  <c r="F20" i="7"/>
  <c r="E20" i="7"/>
  <c r="D20" i="7"/>
  <c r="F20" i="11"/>
  <c r="E20" i="11"/>
  <c r="D20" i="11"/>
  <c r="F20" i="5"/>
  <c r="E20" i="5"/>
  <c r="D20" i="5"/>
  <c r="A37" i="11"/>
  <c r="H46" i="8"/>
  <c r="J18" i="8"/>
  <c r="I18" i="8"/>
  <c r="H18" i="8"/>
  <c r="G18" i="8"/>
  <c r="J18" i="9"/>
  <c r="I18" i="9"/>
  <c r="H18" i="9"/>
  <c r="G18" i="9"/>
  <c r="J18" i="7"/>
  <c r="I18" i="7"/>
  <c r="H18" i="7"/>
  <c r="G18" i="7"/>
  <c r="J18" i="11"/>
  <c r="I18" i="11"/>
  <c r="H18" i="11"/>
  <c r="G18" i="11"/>
  <c r="J18" i="3"/>
  <c r="I18" i="3"/>
  <c r="H18" i="3"/>
  <c r="G18" i="3"/>
  <c r="J18" i="5"/>
  <c r="I18" i="5"/>
  <c r="H18" i="5"/>
  <c r="G18" i="5"/>
  <c r="I5" i="19" l="1"/>
  <c r="F7" i="14"/>
  <c r="J4" i="19"/>
  <c r="J58" i="8"/>
  <c r="J58" i="9"/>
  <c r="G42" i="8"/>
  <c r="G42" i="9"/>
  <c r="G37" i="7"/>
  <c r="G42" i="11"/>
  <c r="J5" i="19" l="1"/>
  <c r="H59" i="11"/>
  <c r="G59" i="11"/>
  <c r="F59" i="11"/>
  <c r="E59" i="11"/>
  <c r="J59" i="11"/>
  <c r="I56" i="11"/>
  <c r="I59" i="11" s="1"/>
  <c r="F46" i="11"/>
  <c r="F47" i="11" s="1"/>
  <c r="E46" i="11"/>
  <c r="E47" i="11" s="1"/>
  <c r="E66" i="11" s="1"/>
  <c r="D46" i="11"/>
  <c r="G43" i="11"/>
  <c r="G33" i="11"/>
  <c r="J32" i="11"/>
  <c r="I32" i="11"/>
  <c r="H32" i="11"/>
  <c r="G32" i="11"/>
  <c r="J31" i="11"/>
  <c r="I31" i="11"/>
  <c r="I46" i="11" s="1"/>
  <c r="H31" i="11"/>
  <c r="G31" i="11"/>
  <c r="G46" i="11" s="1"/>
  <c r="G25" i="11"/>
  <c r="H25" i="11" s="1"/>
  <c r="I25" i="11" s="1"/>
  <c r="J25" i="11" s="1"/>
  <c r="D25" i="11"/>
  <c r="F26" i="11"/>
  <c r="E26" i="11"/>
  <c r="D26" i="11"/>
  <c r="J16" i="11"/>
  <c r="J37" i="11" s="1"/>
  <c r="I16" i="11"/>
  <c r="I37" i="11" s="1"/>
  <c r="H16" i="11"/>
  <c r="H37" i="11" s="1"/>
  <c r="G16" i="11"/>
  <c r="G37" i="11" s="1"/>
  <c r="G14" i="11"/>
  <c r="G20" i="11" s="1"/>
  <c r="J8" i="11"/>
  <c r="J9" i="11" s="1"/>
  <c r="I8" i="11"/>
  <c r="I9" i="11" s="1"/>
  <c r="H8" i="11"/>
  <c r="H9" i="11" s="1"/>
  <c r="G8" i="11"/>
  <c r="G9" i="11" s="1"/>
  <c r="F8" i="11"/>
  <c r="F9" i="11" s="1"/>
  <c r="E8" i="11"/>
  <c r="E9" i="11" s="1"/>
  <c r="D8" i="11"/>
  <c r="D9" i="11" s="1"/>
  <c r="K7" i="11"/>
  <c r="K6" i="11"/>
  <c r="K5" i="11"/>
  <c r="I3" i="11"/>
  <c r="J3" i="11" s="1"/>
  <c r="H3" i="11"/>
  <c r="F3" i="11"/>
  <c r="E3" i="11"/>
  <c r="D3" i="11"/>
  <c r="K8" i="11" l="1"/>
  <c r="E49" i="11"/>
  <c r="E61" i="11" s="1"/>
  <c r="E64" i="11" s="1"/>
  <c r="E28" i="11"/>
  <c r="F49" i="11"/>
  <c r="F61" i="11" s="1"/>
  <c r="F64" i="11" s="1"/>
  <c r="F28" i="11"/>
  <c r="H46" i="11"/>
  <c r="G26" i="11"/>
  <c r="H14" i="11"/>
  <c r="H20" i="11" s="1"/>
  <c r="G27" i="11"/>
  <c r="G47" i="11" s="1"/>
  <c r="F66" i="11"/>
  <c r="D49" i="11"/>
  <c r="D61" i="11" s="1"/>
  <c r="D28" i="11"/>
  <c r="J46" i="11"/>
  <c r="H45" i="5"/>
  <c r="H40" i="7"/>
  <c r="K8" i="9"/>
  <c r="K7" i="9"/>
  <c r="K6" i="9"/>
  <c r="K5" i="9"/>
  <c r="K7" i="8"/>
  <c r="K6" i="8"/>
  <c r="K5" i="8"/>
  <c r="K7" i="7"/>
  <c r="K8" i="7" s="1"/>
  <c r="K6" i="7"/>
  <c r="K5" i="7"/>
  <c r="K7" i="3"/>
  <c r="K6" i="3"/>
  <c r="K5" i="3"/>
  <c r="K8" i="3" s="1"/>
  <c r="K7" i="5"/>
  <c r="K8" i="5" s="1"/>
  <c r="K6" i="5"/>
  <c r="K5" i="5"/>
  <c r="J59" i="5"/>
  <c r="J32" i="5"/>
  <c r="J31" i="5"/>
  <c r="J16" i="5"/>
  <c r="J37" i="5" s="1"/>
  <c r="J15" i="5"/>
  <c r="J8" i="5"/>
  <c r="J16" i="3"/>
  <c r="I16" i="3"/>
  <c r="H16" i="3"/>
  <c r="G16" i="3"/>
  <c r="J15" i="3"/>
  <c r="I15" i="3"/>
  <c r="H15" i="3"/>
  <c r="G15" i="3"/>
  <c r="J16" i="7"/>
  <c r="I16" i="7"/>
  <c r="H16" i="7"/>
  <c r="G16" i="7"/>
  <c r="J15" i="7"/>
  <c r="I15" i="7"/>
  <c r="H15" i="7"/>
  <c r="G15" i="7"/>
  <c r="J16" i="8"/>
  <c r="I16" i="8"/>
  <c r="H16" i="8"/>
  <c r="H37" i="8" s="1"/>
  <c r="G16" i="8"/>
  <c r="J15" i="8"/>
  <c r="I15" i="8"/>
  <c r="H15" i="8"/>
  <c r="G15" i="8"/>
  <c r="G16" i="9"/>
  <c r="G37" i="9" s="1"/>
  <c r="G15" i="9"/>
  <c r="H16" i="9"/>
  <c r="H37" i="9" s="1"/>
  <c r="H15" i="9"/>
  <c r="I16" i="9"/>
  <c r="I15" i="9"/>
  <c r="J15" i="9"/>
  <c r="J16" i="9"/>
  <c r="J37" i="9" s="1"/>
  <c r="H61" i="9"/>
  <c r="G61" i="9"/>
  <c r="F61" i="9"/>
  <c r="E61" i="9"/>
  <c r="J61" i="9"/>
  <c r="I58" i="9"/>
  <c r="I61" i="9" s="1"/>
  <c r="F48" i="9"/>
  <c r="F49" i="9" s="1"/>
  <c r="E48" i="9"/>
  <c r="E49" i="9" s="1"/>
  <c r="E68" i="9" s="1"/>
  <c r="D48" i="9"/>
  <c r="G43" i="9"/>
  <c r="I37" i="9"/>
  <c r="G33" i="9"/>
  <c r="J32" i="9"/>
  <c r="I32" i="9"/>
  <c r="H32" i="9"/>
  <c r="G32" i="9"/>
  <c r="J31" i="9"/>
  <c r="I31" i="9"/>
  <c r="H31" i="9"/>
  <c r="G31" i="9"/>
  <c r="G25" i="9"/>
  <c r="H25" i="9" s="1"/>
  <c r="I25" i="9" s="1"/>
  <c r="J25" i="9" s="1"/>
  <c r="D25" i="9"/>
  <c r="F26" i="9"/>
  <c r="E26" i="9"/>
  <c r="D26" i="9"/>
  <c r="J8" i="9"/>
  <c r="J9" i="9" s="1"/>
  <c r="I8" i="9"/>
  <c r="H8" i="9"/>
  <c r="H9" i="9" s="1"/>
  <c r="G8" i="9"/>
  <c r="G9" i="9" s="1"/>
  <c r="F8" i="9"/>
  <c r="F9" i="9" s="1"/>
  <c r="E8" i="9"/>
  <c r="E9" i="9" s="1"/>
  <c r="D8" i="9"/>
  <c r="D3" i="9" s="1"/>
  <c r="H3" i="9"/>
  <c r="I3" i="9" s="1"/>
  <c r="J3" i="9" s="1"/>
  <c r="E3" i="9"/>
  <c r="J62" i="8"/>
  <c r="I62" i="8"/>
  <c r="H62" i="8"/>
  <c r="G62" i="8"/>
  <c r="F62" i="8"/>
  <c r="E62" i="8"/>
  <c r="I58" i="8"/>
  <c r="E49" i="8"/>
  <c r="E69" i="8" s="1"/>
  <c r="F48" i="8"/>
  <c r="F49" i="8" s="1"/>
  <c r="E48" i="8"/>
  <c r="D48" i="8"/>
  <c r="I47" i="8"/>
  <c r="G43" i="8"/>
  <c r="G33" i="8"/>
  <c r="J32" i="8"/>
  <c r="I32" i="8"/>
  <c r="H32" i="8"/>
  <c r="G32" i="8"/>
  <c r="J31" i="8"/>
  <c r="I31" i="8"/>
  <c r="H31" i="8"/>
  <c r="G31" i="8"/>
  <c r="G25" i="8"/>
  <c r="H25" i="8" s="1"/>
  <c r="I25" i="8" s="1"/>
  <c r="J25" i="8" s="1"/>
  <c r="D25" i="8"/>
  <c r="F26" i="8"/>
  <c r="E26" i="8"/>
  <c r="D26" i="8"/>
  <c r="J37" i="8"/>
  <c r="J48" i="8" s="1"/>
  <c r="I37" i="8"/>
  <c r="G37" i="8"/>
  <c r="G14" i="8"/>
  <c r="G20" i="8" s="1"/>
  <c r="J8" i="8"/>
  <c r="J9" i="8" s="1"/>
  <c r="I8" i="8"/>
  <c r="I9" i="8" s="1"/>
  <c r="H8" i="8"/>
  <c r="H9" i="8" s="1"/>
  <c r="G8" i="8"/>
  <c r="G9" i="8" s="1"/>
  <c r="F8" i="8"/>
  <c r="F9" i="8" s="1"/>
  <c r="E8" i="8"/>
  <c r="E9" i="8" s="1"/>
  <c r="D8" i="8"/>
  <c r="D9" i="8" s="1"/>
  <c r="I3" i="8"/>
  <c r="J3" i="8" s="1"/>
  <c r="H3" i="8"/>
  <c r="F3" i="8"/>
  <c r="E3" i="8"/>
  <c r="D3" i="8"/>
  <c r="K8" i="8" l="1"/>
  <c r="H27" i="11"/>
  <c r="H47" i="11" s="1"/>
  <c r="G66" i="11"/>
  <c r="H26" i="11"/>
  <c r="I14" i="11"/>
  <c r="I20" i="11" s="1"/>
  <c r="F67" i="11"/>
  <c r="F65" i="11"/>
  <c r="G63" i="11"/>
  <c r="G49" i="11"/>
  <c r="G61" i="11" s="1"/>
  <c r="G28" i="11"/>
  <c r="E67" i="11"/>
  <c r="E65" i="11"/>
  <c r="J46" i="5"/>
  <c r="G14" i="9"/>
  <c r="G20" i="9" s="1"/>
  <c r="I48" i="9"/>
  <c r="G48" i="9"/>
  <c r="I48" i="8"/>
  <c r="H48" i="8"/>
  <c r="H48" i="9"/>
  <c r="J48" i="9"/>
  <c r="F51" i="9"/>
  <c r="F63" i="9" s="1"/>
  <c r="F66" i="9" s="1"/>
  <c r="G65" i="9" s="1"/>
  <c r="F28" i="9"/>
  <c r="G27" i="9"/>
  <c r="G49" i="9" s="1"/>
  <c r="F68" i="9"/>
  <c r="D51" i="9"/>
  <c r="D63" i="9" s="1"/>
  <c r="D28" i="9"/>
  <c r="E51" i="9"/>
  <c r="E63" i="9" s="1"/>
  <c r="E66" i="9" s="1"/>
  <c r="E28" i="9"/>
  <c r="D9" i="9"/>
  <c r="F3" i="9"/>
  <c r="I9" i="9"/>
  <c r="F51" i="8"/>
  <c r="F64" i="8" s="1"/>
  <c r="F67" i="8" s="1"/>
  <c r="G66" i="8" s="1"/>
  <c r="F28" i="8"/>
  <c r="D51" i="8"/>
  <c r="D64" i="8" s="1"/>
  <c r="D28" i="8"/>
  <c r="G27" i="8"/>
  <c r="F69" i="8"/>
  <c r="G26" i="8"/>
  <c r="H14" i="8"/>
  <c r="H20" i="8" s="1"/>
  <c r="E51" i="8"/>
  <c r="E64" i="8" s="1"/>
  <c r="E67" i="8" s="1"/>
  <c r="E28" i="8"/>
  <c r="G48" i="8"/>
  <c r="J58" i="3"/>
  <c r="J32" i="3"/>
  <c r="J31" i="3"/>
  <c r="J37" i="3"/>
  <c r="J8" i="3"/>
  <c r="J59" i="7"/>
  <c r="I59" i="7"/>
  <c r="H59" i="7"/>
  <c r="G59" i="7"/>
  <c r="F59" i="7"/>
  <c r="E59" i="7"/>
  <c r="F46" i="7"/>
  <c r="F47" i="7" s="1"/>
  <c r="E46" i="7"/>
  <c r="E47" i="7" s="1"/>
  <c r="E66" i="7" s="1"/>
  <c r="D46" i="7"/>
  <c r="H41" i="7"/>
  <c r="G41" i="7"/>
  <c r="G38" i="7"/>
  <c r="G33" i="7"/>
  <c r="J32" i="7"/>
  <c r="I32" i="7"/>
  <c r="H32" i="7"/>
  <c r="G32" i="7"/>
  <c r="J31" i="7"/>
  <c r="I31" i="7"/>
  <c r="H31" i="7"/>
  <c r="G31" i="7"/>
  <c r="G46" i="7" s="1"/>
  <c r="I25" i="7"/>
  <c r="J25" i="7" s="1"/>
  <c r="H25" i="7"/>
  <c r="G25" i="7"/>
  <c r="D25" i="7"/>
  <c r="F26" i="7"/>
  <c r="E26" i="7"/>
  <c r="D26" i="7"/>
  <c r="J41" i="7"/>
  <c r="I41" i="7"/>
  <c r="I46" i="7" s="1"/>
  <c r="J8" i="7"/>
  <c r="J9" i="7" s="1"/>
  <c r="I8" i="7"/>
  <c r="I9" i="7" s="1"/>
  <c r="H8" i="7"/>
  <c r="H9" i="7" s="1"/>
  <c r="G8" i="7"/>
  <c r="G9" i="7" s="1"/>
  <c r="F8" i="7"/>
  <c r="F9" i="7" s="1"/>
  <c r="E8" i="7"/>
  <c r="E3" i="7" s="1"/>
  <c r="D8" i="7"/>
  <c r="D9" i="7" s="1"/>
  <c r="H3" i="7"/>
  <c r="I3" i="7" s="1"/>
  <c r="J3" i="7" s="1"/>
  <c r="F3" i="7"/>
  <c r="H66" i="11" l="1"/>
  <c r="I27" i="11"/>
  <c r="I47" i="11" s="1"/>
  <c r="G64" i="11"/>
  <c r="J14" i="11"/>
  <c r="I26" i="11"/>
  <c r="H49" i="11"/>
  <c r="H61" i="11" s="1"/>
  <c r="H28" i="11"/>
  <c r="G26" i="9"/>
  <c r="G28" i="9" s="1"/>
  <c r="H14" i="9"/>
  <c r="H46" i="7"/>
  <c r="J46" i="7"/>
  <c r="E69" i="9"/>
  <c r="E67" i="9"/>
  <c r="H27" i="9"/>
  <c r="H49" i="9" s="1"/>
  <c r="G68" i="9"/>
  <c r="F69" i="9"/>
  <c r="F67" i="9"/>
  <c r="G28" i="8"/>
  <c r="I14" i="8"/>
  <c r="I20" i="8" s="1"/>
  <c r="H26" i="8"/>
  <c r="E70" i="8"/>
  <c r="E68" i="8"/>
  <c r="G49" i="8"/>
  <c r="F68" i="8"/>
  <c r="F70" i="8"/>
  <c r="J46" i="3"/>
  <c r="E28" i="7"/>
  <c r="E49" i="7"/>
  <c r="E61" i="7" s="1"/>
  <c r="E64" i="7" s="1"/>
  <c r="F66" i="7"/>
  <c r="G27" i="7"/>
  <c r="G47" i="7" s="1"/>
  <c r="F28" i="7"/>
  <c r="F49" i="7"/>
  <c r="F61" i="7" s="1"/>
  <c r="F64" i="7" s="1"/>
  <c r="G63" i="7" s="1"/>
  <c r="D28" i="7"/>
  <c r="D49" i="7"/>
  <c r="D61" i="7" s="1"/>
  <c r="E9" i="7"/>
  <c r="D3" i="7"/>
  <c r="G14" i="7"/>
  <c r="G20" i="7" s="1"/>
  <c r="H20" i="9" l="1"/>
  <c r="I14" i="9" s="1"/>
  <c r="J20" i="11"/>
  <c r="J26" i="11" s="1"/>
  <c r="I49" i="11"/>
  <c r="I61" i="11" s="1"/>
  <c r="I28" i="11"/>
  <c r="H63" i="11"/>
  <c r="H64" i="11" s="1"/>
  <c r="G67" i="11"/>
  <c r="G65" i="11"/>
  <c r="J27" i="11"/>
  <c r="J47" i="11" s="1"/>
  <c r="J66" i="11" s="1"/>
  <c r="I66" i="11"/>
  <c r="G51" i="9"/>
  <c r="G63" i="9" s="1"/>
  <c r="G66" i="9" s="1"/>
  <c r="H65" i="9" s="1"/>
  <c r="H68" i="9"/>
  <c r="I27" i="9"/>
  <c r="I49" i="9" s="1"/>
  <c r="G69" i="8"/>
  <c r="H27" i="8"/>
  <c r="H49" i="8" s="1"/>
  <c r="H51" i="8" s="1"/>
  <c r="H64" i="8" s="1"/>
  <c r="J14" i="8"/>
  <c r="I26" i="8"/>
  <c r="G51" i="8"/>
  <c r="G64" i="8" s="1"/>
  <c r="G67" i="8" s="1"/>
  <c r="H14" i="7"/>
  <c r="H20" i="7" s="1"/>
  <c r="G26" i="7"/>
  <c r="G66" i="7"/>
  <c r="H27" i="7"/>
  <c r="H47" i="7" s="1"/>
  <c r="F67" i="7"/>
  <c r="F65" i="7"/>
  <c r="E67" i="7"/>
  <c r="E65" i="7"/>
  <c r="J7" i="4"/>
  <c r="J6" i="4"/>
  <c r="J5" i="4"/>
  <c r="J7" i="1"/>
  <c r="J6" i="1"/>
  <c r="J5" i="1"/>
  <c r="G14" i="4"/>
  <c r="G14" i="3"/>
  <c r="F57" i="4"/>
  <c r="F45" i="4"/>
  <c r="F46" i="4" s="1"/>
  <c r="F19" i="4"/>
  <c r="F25" i="4" s="1"/>
  <c r="F8" i="4"/>
  <c r="F9" i="4" s="1"/>
  <c r="F3" i="4"/>
  <c r="F58" i="3"/>
  <c r="F46" i="3"/>
  <c r="F47" i="3" s="1"/>
  <c r="F65" i="3" s="1"/>
  <c r="F20" i="3"/>
  <c r="F26" i="3" s="1"/>
  <c r="F8" i="3"/>
  <c r="F3" i="3" s="1"/>
  <c r="G32" i="3"/>
  <c r="I59" i="5"/>
  <c r="H59" i="5"/>
  <c r="G59" i="5"/>
  <c r="F59" i="5"/>
  <c r="E59" i="5"/>
  <c r="F46" i="5"/>
  <c r="F47" i="5" s="1"/>
  <c r="E46" i="5"/>
  <c r="E47" i="5" s="1"/>
  <c r="E66" i="5" s="1"/>
  <c r="D46" i="5"/>
  <c r="G43" i="5"/>
  <c r="G42" i="5"/>
  <c r="G33" i="5"/>
  <c r="I32" i="5"/>
  <c r="H32" i="5"/>
  <c r="G32" i="5"/>
  <c r="I31" i="5"/>
  <c r="H31" i="5"/>
  <c r="G31" i="5"/>
  <c r="G25" i="5"/>
  <c r="H25" i="5" s="1"/>
  <c r="I25" i="5" s="1"/>
  <c r="J25" i="5" s="1"/>
  <c r="D25" i="5"/>
  <c r="G14" i="5"/>
  <c r="G20" i="5" s="1"/>
  <c r="E26" i="5"/>
  <c r="D26" i="5"/>
  <c r="I16" i="5"/>
  <c r="I37" i="5" s="1"/>
  <c r="H16" i="5"/>
  <c r="H37" i="5" s="1"/>
  <c r="G16" i="5"/>
  <c r="G37" i="5" s="1"/>
  <c r="I15" i="5"/>
  <c r="H15" i="5"/>
  <c r="G15" i="5"/>
  <c r="E9" i="5"/>
  <c r="I8" i="5"/>
  <c r="J9" i="5" s="1"/>
  <c r="H8" i="5"/>
  <c r="G8" i="5"/>
  <c r="G9" i="5" s="1"/>
  <c r="F8" i="5"/>
  <c r="F3" i="5" s="1"/>
  <c r="E8" i="5"/>
  <c r="D8" i="5"/>
  <c r="D3" i="5" s="1"/>
  <c r="H3" i="5"/>
  <c r="I3" i="5" s="1"/>
  <c r="J3" i="5" s="1"/>
  <c r="E3" i="5"/>
  <c r="F57" i="1"/>
  <c r="F45" i="1"/>
  <c r="F46" i="1" s="1"/>
  <c r="F19" i="1"/>
  <c r="F25" i="1" s="1"/>
  <c r="F27" i="1" s="1"/>
  <c r="F8" i="1"/>
  <c r="F3" i="1" s="1"/>
  <c r="I57" i="4"/>
  <c r="H57" i="4"/>
  <c r="G57" i="4"/>
  <c r="E57" i="4"/>
  <c r="E45" i="4"/>
  <c r="E46" i="4" s="1"/>
  <c r="D45" i="4"/>
  <c r="G37" i="4"/>
  <c r="G36" i="4"/>
  <c r="G32" i="4"/>
  <c r="I31" i="4"/>
  <c r="H31" i="4"/>
  <c r="G31" i="4"/>
  <c r="I30" i="4"/>
  <c r="H30" i="4"/>
  <c r="G30" i="4"/>
  <c r="G24" i="4"/>
  <c r="D24" i="4"/>
  <c r="E19" i="4"/>
  <c r="E25" i="4" s="1"/>
  <c r="D19" i="4"/>
  <c r="I16" i="4"/>
  <c r="I40" i="4" s="1"/>
  <c r="H16" i="4"/>
  <c r="H40" i="4" s="1"/>
  <c r="G16" i="4"/>
  <c r="G40" i="4" s="1"/>
  <c r="I15" i="4"/>
  <c r="H15" i="4"/>
  <c r="G15" i="4"/>
  <c r="I8" i="4"/>
  <c r="J8" i="4" s="1"/>
  <c r="H8" i="4"/>
  <c r="G8" i="4"/>
  <c r="G9" i="4" s="1"/>
  <c r="E8" i="4"/>
  <c r="E9" i="4" s="1"/>
  <c r="D8" i="4"/>
  <c r="D9" i="4" s="1"/>
  <c r="H3" i="4"/>
  <c r="I3" i="4" s="1"/>
  <c r="E3" i="4"/>
  <c r="I58" i="3"/>
  <c r="H58" i="3"/>
  <c r="G58" i="3"/>
  <c r="E58" i="3"/>
  <c r="E46" i="3"/>
  <c r="E47" i="3" s="1"/>
  <c r="D46" i="3"/>
  <c r="G43" i="3"/>
  <c r="G42" i="3"/>
  <c r="G33" i="3"/>
  <c r="I32" i="3"/>
  <c r="H32" i="3"/>
  <c r="I31" i="3"/>
  <c r="H31" i="3"/>
  <c r="G31" i="3"/>
  <c r="G25" i="3"/>
  <c r="H25" i="3" s="1"/>
  <c r="I25" i="3" s="1"/>
  <c r="J25" i="3" s="1"/>
  <c r="D25" i="3"/>
  <c r="E20" i="3"/>
  <c r="D20" i="3"/>
  <c r="I37" i="3"/>
  <c r="H37" i="3"/>
  <c r="G37" i="3"/>
  <c r="I8" i="3"/>
  <c r="H8" i="3"/>
  <c r="G8" i="3"/>
  <c r="E8" i="3"/>
  <c r="E9" i="3" s="1"/>
  <c r="D8" i="3"/>
  <c r="D9" i="3" s="1"/>
  <c r="H3" i="3"/>
  <c r="I3" i="3" s="1"/>
  <c r="J3" i="3" s="1"/>
  <c r="G37" i="1"/>
  <c r="G36" i="1"/>
  <c r="I40" i="1"/>
  <c r="G40" i="1"/>
  <c r="I16" i="1"/>
  <c r="H16" i="1"/>
  <c r="H40" i="1" s="1"/>
  <c r="G16" i="1"/>
  <c r="G15" i="1"/>
  <c r="J20" i="8" l="1"/>
  <c r="J26" i="8" s="1"/>
  <c r="I20" i="9"/>
  <c r="I26" i="9" s="1"/>
  <c r="I28" i="9" s="1"/>
  <c r="H26" i="9"/>
  <c r="G69" i="9"/>
  <c r="I63" i="11"/>
  <c r="I64" i="11" s="1"/>
  <c r="H67" i="11"/>
  <c r="H65" i="11"/>
  <c r="J28" i="11"/>
  <c r="J49" i="11"/>
  <c r="J61" i="11" s="1"/>
  <c r="G26" i="5"/>
  <c r="F9" i="5"/>
  <c r="G67" i="9"/>
  <c r="J27" i="9"/>
  <c r="I68" i="9"/>
  <c r="I51" i="9"/>
  <c r="I63" i="9" s="1"/>
  <c r="H66" i="8"/>
  <c r="H67" i="8" s="1"/>
  <c r="G70" i="8"/>
  <c r="G68" i="8"/>
  <c r="H28" i="8"/>
  <c r="H69" i="8"/>
  <c r="I27" i="8"/>
  <c r="I49" i="8" s="1"/>
  <c r="J9" i="3"/>
  <c r="E3" i="3"/>
  <c r="G9" i="3"/>
  <c r="H66" i="7"/>
  <c r="I27" i="7"/>
  <c r="I47" i="7" s="1"/>
  <c r="G49" i="7"/>
  <c r="G61" i="7" s="1"/>
  <c r="G64" i="7" s="1"/>
  <c r="G28" i="7"/>
  <c r="H26" i="7"/>
  <c r="I14" i="7"/>
  <c r="I20" i="7" s="1"/>
  <c r="F9" i="3"/>
  <c r="G14" i="1"/>
  <c r="F48" i="1"/>
  <c r="F59" i="1" s="1"/>
  <c r="F62" i="1" s="1"/>
  <c r="F64" i="1"/>
  <c r="G26" i="1"/>
  <c r="F64" i="4"/>
  <c r="G26" i="4"/>
  <c r="H24" i="4"/>
  <c r="I24" i="4" s="1"/>
  <c r="D25" i="4"/>
  <c r="G27" i="3"/>
  <c r="G20" i="3"/>
  <c r="H14" i="3" s="1"/>
  <c r="H20" i="3" s="1"/>
  <c r="F48" i="4"/>
  <c r="F59" i="4" s="1"/>
  <c r="F62" i="4" s="1"/>
  <c r="F27" i="4"/>
  <c r="F28" i="3"/>
  <c r="F49" i="3"/>
  <c r="F60" i="3" s="1"/>
  <c r="F63" i="3" s="1"/>
  <c r="D26" i="3"/>
  <c r="D49" i="3" s="1"/>
  <c r="D60" i="3" s="1"/>
  <c r="I46" i="5"/>
  <c r="I45" i="4"/>
  <c r="I46" i="3"/>
  <c r="G46" i="3"/>
  <c r="H45" i="4"/>
  <c r="I9" i="5"/>
  <c r="H46" i="5"/>
  <c r="D28" i="5"/>
  <c r="D49" i="5"/>
  <c r="D61" i="5" s="1"/>
  <c r="E49" i="5"/>
  <c r="E61" i="5" s="1"/>
  <c r="E64" i="5" s="1"/>
  <c r="E28" i="5"/>
  <c r="F66" i="5"/>
  <c r="G27" i="5"/>
  <c r="G46" i="5"/>
  <c r="D9" i="5"/>
  <c r="H9" i="5"/>
  <c r="F26" i="5"/>
  <c r="H9" i="4"/>
  <c r="F9" i="1"/>
  <c r="I9" i="4"/>
  <c r="H9" i="3"/>
  <c r="G45" i="4"/>
  <c r="E27" i="4"/>
  <c r="E48" i="4"/>
  <c r="E59" i="4" s="1"/>
  <c r="E62" i="4" s="1"/>
  <c r="D27" i="4"/>
  <c r="D48" i="4"/>
  <c r="D59" i="4" s="1"/>
  <c r="E64" i="4"/>
  <c r="G19" i="4"/>
  <c r="D3" i="4"/>
  <c r="I9" i="3"/>
  <c r="H46" i="3"/>
  <c r="D28" i="3"/>
  <c r="E65" i="3"/>
  <c r="D3" i="3"/>
  <c r="E26" i="3"/>
  <c r="H15" i="1"/>
  <c r="H31" i="1"/>
  <c r="I31" i="1"/>
  <c r="G31" i="1"/>
  <c r="I15" i="1"/>
  <c r="E29" i="2"/>
  <c r="D29" i="2"/>
  <c r="D40" i="2"/>
  <c r="D39" i="2"/>
  <c r="C39" i="2"/>
  <c r="G26" i="2"/>
  <c r="G27" i="2"/>
  <c r="G25" i="2"/>
  <c r="E25" i="2"/>
  <c r="E26" i="2" s="1"/>
  <c r="E27" i="2" s="1"/>
  <c r="D25" i="2"/>
  <c r="C24" i="2"/>
  <c r="E24" i="2"/>
  <c r="D24" i="2"/>
  <c r="E8" i="2"/>
  <c r="D22" i="2"/>
  <c r="E22" i="2" s="1"/>
  <c r="F22" i="2" s="1"/>
  <c r="B22" i="2"/>
  <c r="C17" i="2"/>
  <c r="C23" i="2" s="1"/>
  <c r="B17" i="2"/>
  <c r="F14" i="2"/>
  <c r="E14" i="2"/>
  <c r="D14" i="2"/>
  <c r="F7" i="2"/>
  <c r="E7" i="2"/>
  <c r="D7" i="2"/>
  <c r="C7" i="2"/>
  <c r="C3" i="2" s="1"/>
  <c r="E3" i="2" s="1"/>
  <c r="F3" i="2" s="1"/>
  <c r="B7" i="2"/>
  <c r="B8" i="2" s="1"/>
  <c r="B3" i="2"/>
  <c r="H28" i="9" l="1"/>
  <c r="H51" i="9"/>
  <c r="H63" i="9" s="1"/>
  <c r="H66" i="9" s="1"/>
  <c r="H67" i="9" s="1"/>
  <c r="J14" i="9"/>
  <c r="H14" i="5"/>
  <c r="I28" i="8"/>
  <c r="J63" i="11"/>
  <c r="J64" i="11" s="1"/>
  <c r="I67" i="11"/>
  <c r="I65" i="11"/>
  <c r="G26" i="3"/>
  <c r="G28" i="3" s="1"/>
  <c r="J49" i="9"/>
  <c r="J27" i="8"/>
  <c r="I69" i="8"/>
  <c r="I66" i="8"/>
  <c r="H70" i="8"/>
  <c r="H68" i="8"/>
  <c r="I51" i="8"/>
  <c r="I64" i="8" s="1"/>
  <c r="G67" i="7"/>
  <c r="H63" i="7"/>
  <c r="G65" i="7"/>
  <c r="I66" i="7"/>
  <c r="J27" i="7"/>
  <c r="J47" i="7" s="1"/>
  <c r="J66" i="7" s="1"/>
  <c r="I26" i="7"/>
  <c r="J14" i="7"/>
  <c r="H49" i="7"/>
  <c r="H61" i="7" s="1"/>
  <c r="H28" i="7"/>
  <c r="G61" i="1"/>
  <c r="F65" i="1"/>
  <c r="F63" i="1"/>
  <c r="F65" i="4"/>
  <c r="F63" i="4"/>
  <c r="F66" i="3"/>
  <c r="F64" i="3"/>
  <c r="G47" i="3"/>
  <c r="G65" i="3" s="1"/>
  <c r="G46" i="4"/>
  <c r="H26" i="4" s="1"/>
  <c r="H46" i="4" s="1"/>
  <c r="G47" i="5"/>
  <c r="G49" i="5" s="1"/>
  <c r="G61" i="5" s="1"/>
  <c r="F49" i="5"/>
  <c r="F61" i="5" s="1"/>
  <c r="F64" i="5" s="1"/>
  <c r="F28" i="5"/>
  <c r="G28" i="5"/>
  <c r="E67" i="5"/>
  <c r="E65" i="5"/>
  <c r="H14" i="4"/>
  <c r="H19" i="4" s="1"/>
  <c r="G25" i="4"/>
  <c r="G61" i="4"/>
  <c r="E65" i="4"/>
  <c r="E63" i="4"/>
  <c r="I14" i="3"/>
  <c r="I20" i="3" s="1"/>
  <c r="H26" i="3"/>
  <c r="E28" i="3"/>
  <c r="E49" i="3"/>
  <c r="E60" i="3" s="1"/>
  <c r="E63" i="3" s="1"/>
  <c r="G62" i="3" s="1"/>
  <c r="D26" i="2"/>
  <c r="D27" i="2" s="1"/>
  <c r="B23" i="2"/>
  <c r="F8" i="2"/>
  <c r="D13" i="2"/>
  <c r="D17" i="2" s="1"/>
  <c r="D8" i="2"/>
  <c r="G32" i="1"/>
  <c r="J20" i="9" l="1"/>
  <c r="J26" i="9" s="1"/>
  <c r="H69" i="9"/>
  <c r="I65" i="9"/>
  <c r="I66" i="9" s="1"/>
  <c r="I67" i="9" s="1"/>
  <c r="J20" i="7"/>
  <c r="J26" i="7" s="1"/>
  <c r="H20" i="5"/>
  <c r="H26" i="5" s="1"/>
  <c r="J67" i="11"/>
  <c r="J65" i="11"/>
  <c r="I67" i="8"/>
  <c r="I70" i="8" s="1"/>
  <c r="H64" i="7"/>
  <c r="I63" i="7" s="1"/>
  <c r="J68" i="9"/>
  <c r="J49" i="8"/>
  <c r="J28" i="8"/>
  <c r="I26" i="3"/>
  <c r="J14" i="3"/>
  <c r="J20" i="3" s="1"/>
  <c r="J26" i="3" s="1"/>
  <c r="I28" i="7"/>
  <c r="I49" i="7"/>
  <c r="I61" i="7" s="1"/>
  <c r="H27" i="3"/>
  <c r="H47" i="3" s="1"/>
  <c r="H49" i="3" s="1"/>
  <c r="H60" i="3" s="1"/>
  <c r="G49" i="3"/>
  <c r="G60" i="3" s="1"/>
  <c r="G64" i="4"/>
  <c r="F65" i="5"/>
  <c r="G63" i="5"/>
  <c r="G64" i="5" s="1"/>
  <c r="F67" i="5"/>
  <c r="H27" i="5"/>
  <c r="H47" i="5" s="1"/>
  <c r="G66" i="5"/>
  <c r="H64" i="4"/>
  <c r="I26" i="4"/>
  <c r="I46" i="4" s="1"/>
  <c r="I64" i="4" s="1"/>
  <c r="H25" i="4"/>
  <c r="I14" i="4"/>
  <c r="I19" i="4" s="1"/>
  <c r="I25" i="4" s="1"/>
  <c r="G48" i="4"/>
  <c r="G59" i="4" s="1"/>
  <c r="G62" i="4" s="1"/>
  <c r="G27" i="4"/>
  <c r="E66" i="3"/>
  <c r="E64" i="3"/>
  <c r="D23" i="2"/>
  <c r="E13" i="2"/>
  <c r="E17" i="2" s="1"/>
  <c r="D19" i="1"/>
  <c r="J65" i="9" l="1"/>
  <c r="I69" i="9"/>
  <c r="J28" i="9"/>
  <c r="J51" i="9"/>
  <c r="J63" i="9" s="1"/>
  <c r="J28" i="7"/>
  <c r="J49" i="7"/>
  <c r="J61" i="7" s="1"/>
  <c r="I14" i="5"/>
  <c r="I20" i="5" s="1"/>
  <c r="I68" i="8"/>
  <c r="J66" i="8"/>
  <c r="H65" i="7"/>
  <c r="H67" i="7"/>
  <c r="I64" i="7"/>
  <c r="J63" i="7" s="1"/>
  <c r="J69" i="8"/>
  <c r="J51" i="8"/>
  <c r="J64" i="8" s="1"/>
  <c r="I27" i="3"/>
  <c r="I47" i="3" s="1"/>
  <c r="H65" i="3"/>
  <c r="H28" i="3"/>
  <c r="G63" i="3"/>
  <c r="H62" i="3" s="1"/>
  <c r="H63" i="3" s="1"/>
  <c r="I27" i="5"/>
  <c r="H66" i="5"/>
  <c r="G65" i="5"/>
  <c r="H63" i="5"/>
  <c r="G67" i="5"/>
  <c r="H49" i="5"/>
  <c r="H61" i="5" s="1"/>
  <c r="H28" i="5"/>
  <c r="I27" i="4"/>
  <c r="I48" i="4"/>
  <c r="I59" i="4" s="1"/>
  <c r="H48" i="4"/>
  <c r="H59" i="4" s="1"/>
  <c r="H27" i="4"/>
  <c r="H61" i="4"/>
  <c r="G65" i="4"/>
  <c r="G63" i="4"/>
  <c r="E23" i="2"/>
  <c r="F13" i="2"/>
  <c r="F17" i="2" s="1"/>
  <c r="F23" i="2" s="1"/>
  <c r="D24" i="1"/>
  <c r="D45" i="1"/>
  <c r="D8" i="1"/>
  <c r="D9" i="1" s="1"/>
  <c r="J66" i="9" l="1"/>
  <c r="J67" i="9" s="1"/>
  <c r="J64" i="7"/>
  <c r="I26" i="5"/>
  <c r="J14" i="5"/>
  <c r="J67" i="8"/>
  <c r="J70" i="8" s="1"/>
  <c r="I65" i="7"/>
  <c r="I67" i="7"/>
  <c r="I65" i="3"/>
  <c r="J27" i="3"/>
  <c r="J67" i="7"/>
  <c r="J65" i="7"/>
  <c r="I49" i="3"/>
  <c r="I60" i="3" s="1"/>
  <c r="I28" i="3"/>
  <c r="G64" i="3"/>
  <c r="G66" i="3"/>
  <c r="H64" i="5"/>
  <c r="I47" i="5"/>
  <c r="J27" i="5" s="1"/>
  <c r="I28" i="5"/>
  <c r="H62" i="4"/>
  <c r="I62" i="3"/>
  <c r="H66" i="3"/>
  <c r="H64" i="3"/>
  <c r="D25" i="1"/>
  <c r="D3" i="1"/>
  <c r="J69" i="9" l="1"/>
  <c r="J20" i="5"/>
  <c r="J26" i="5" s="1"/>
  <c r="J28" i="5" s="1"/>
  <c r="J68" i="8"/>
  <c r="J47" i="5"/>
  <c r="J28" i="3"/>
  <c r="J47" i="3"/>
  <c r="I63" i="3"/>
  <c r="I66" i="5"/>
  <c r="I49" i="5"/>
  <c r="I61" i="5" s="1"/>
  <c r="I63" i="5"/>
  <c r="H67" i="5"/>
  <c r="H65" i="5"/>
  <c r="H65" i="4"/>
  <c r="H63" i="4"/>
  <c r="I61" i="4"/>
  <c r="I62" i="4" s="1"/>
  <c r="D27" i="1"/>
  <c r="D48" i="1"/>
  <c r="D59" i="1" s="1"/>
  <c r="I66" i="3" l="1"/>
  <c r="J62" i="3"/>
  <c r="J66" i="5"/>
  <c r="J49" i="5"/>
  <c r="J61" i="5" s="1"/>
  <c r="J65" i="3"/>
  <c r="J49" i="3"/>
  <c r="J60" i="3" s="1"/>
  <c r="I64" i="3"/>
  <c r="I64" i="5"/>
  <c r="J63" i="5" s="1"/>
  <c r="I65" i="4"/>
  <c r="I63" i="4"/>
  <c r="I57" i="1"/>
  <c r="H57" i="1"/>
  <c r="G57" i="1"/>
  <c r="E57" i="1"/>
  <c r="I30" i="1"/>
  <c r="H30" i="1"/>
  <c r="G30" i="1"/>
  <c r="G45" i="1" s="1"/>
  <c r="G24" i="1"/>
  <c r="H24" i="1" s="1"/>
  <c r="I24" i="1" s="1"/>
  <c r="I8" i="1"/>
  <c r="J8" i="1" s="1"/>
  <c r="H8" i="1"/>
  <c r="G8" i="1"/>
  <c r="E8" i="1"/>
  <c r="E9" i="1" s="1"/>
  <c r="J64" i="5" l="1"/>
  <c r="J63" i="3"/>
  <c r="J66" i="3" s="1"/>
  <c r="I67" i="5"/>
  <c r="I65" i="5"/>
  <c r="E3" i="1"/>
  <c r="H3" i="1" s="1"/>
  <c r="I3" i="1" s="1"/>
  <c r="H45" i="1"/>
  <c r="I45" i="1"/>
  <c r="G9" i="1"/>
  <c r="I9" i="1"/>
  <c r="H9" i="1"/>
  <c r="E19" i="1"/>
  <c r="J67" i="5" l="1"/>
  <c r="J65" i="5"/>
  <c r="J64" i="3"/>
  <c r="E45" i="1"/>
  <c r="E46" i="1" s="1"/>
  <c r="E64" i="1" s="1"/>
  <c r="E25" i="1"/>
  <c r="G46" i="1" l="1"/>
  <c r="G19" i="1"/>
  <c r="E48" i="1"/>
  <c r="E59" i="1" s="1"/>
  <c r="E62" i="1" s="1"/>
  <c r="E65" i="1" s="1"/>
  <c r="E27" i="1"/>
  <c r="H26" i="1" l="1"/>
  <c r="H46" i="1" s="1"/>
  <c r="I26" i="1" s="1"/>
  <c r="I46" i="1" s="1"/>
  <c r="I64" i="1" s="1"/>
  <c r="G64" i="1"/>
  <c r="E63" i="1"/>
  <c r="G25" i="1"/>
  <c r="H14" i="1"/>
  <c r="H64" i="1" l="1"/>
  <c r="H19" i="1"/>
  <c r="G48" i="1"/>
  <c r="G59" i="1" s="1"/>
  <c r="G27" i="1"/>
  <c r="G62" i="1" l="1"/>
  <c r="G65" i="1" s="1"/>
  <c r="H25" i="1"/>
  <c r="I14" i="1"/>
  <c r="G63" i="1" l="1"/>
  <c r="H61" i="1"/>
  <c r="I19" i="1"/>
  <c r="I25" i="1" s="1"/>
  <c r="H48" i="1"/>
  <c r="H59" i="1" s="1"/>
  <c r="H27" i="1"/>
  <c r="H62" i="1" l="1"/>
  <c r="H65" i="1" s="1"/>
  <c r="I48" i="1"/>
  <c r="I59" i="1" s="1"/>
  <c r="I27" i="1"/>
  <c r="I61" i="1" l="1"/>
  <c r="H63" i="1"/>
  <c r="I62" i="1"/>
  <c r="I63" i="1" l="1"/>
  <c r="I65" i="1"/>
</calcChain>
</file>

<file path=xl/comments1.xml><?xml version="1.0" encoding="utf-8"?>
<comments xmlns="http://schemas.openxmlformats.org/spreadsheetml/2006/main">
  <authors>
    <author>alb91</author>
  </authors>
  <commentList>
    <comment ref="G46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2 student affairs positions</t>
        </r>
      </text>
    </comment>
    <comment ref="H46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200k to backfill business svcs deficit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$260,100 enrollment growth one-time would come out of the base funding set aside for one-time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$216,750 enrollment growth one-time would come out of the base funding set aside for one-time</t>
        </r>
      </text>
    </comment>
  </commentList>
</comments>
</file>

<file path=xl/comments2.xml><?xml version="1.0" encoding="utf-8"?>
<comments xmlns="http://schemas.openxmlformats.org/spreadsheetml/2006/main">
  <authors>
    <author>alb91</author>
  </authors>
  <commentList>
    <comment ref="H46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2 student affairs positions and 200k to backfill business svcs deficit</t>
        </r>
      </text>
    </comment>
    <comment ref="I58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$260,100 enrollment growth one-time would come out of the base funding set aside for one-time</t>
        </r>
      </text>
    </comment>
    <comment ref="J58" authorId="0">
      <text>
        <r>
          <rPr>
            <b/>
            <sz val="9"/>
            <color indexed="81"/>
            <rFont val="Tahoma"/>
            <family val="2"/>
          </rPr>
          <t>alb91:</t>
        </r>
        <r>
          <rPr>
            <sz val="9"/>
            <color indexed="81"/>
            <rFont val="Tahoma"/>
            <family val="2"/>
          </rPr>
          <t xml:space="preserve">
$216,750 enrollment growth one-time would come out of the base funding set aside for one-time</t>
        </r>
      </text>
    </comment>
  </commentList>
</comments>
</file>

<file path=xl/sharedStrings.xml><?xml version="1.0" encoding="utf-8"?>
<sst xmlns="http://schemas.openxmlformats.org/spreadsheetml/2006/main" count="974" uniqueCount="209">
  <si>
    <t>2013-14 Budget</t>
  </si>
  <si>
    <t>State Tuition Fee Adjustment</t>
  </si>
  <si>
    <t>HC/FTE Ratio</t>
  </si>
  <si>
    <t>Annualized Resident FTES</t>
  </si>
  <si>
    <t>Annualized WUE FTES</t>
  </si>
  <si>
    <t>Annualized Non-Resident FTES</t>
  </si>
  <si>
    <t>Annualized FTES Assumption</t>
  </si>
  <si>
    <t xml:space="preserve">Change from Prior Year FTES Budget Target </t>
  </si>
  <si>
    <t>Annualized Headcount Target</t>
  </si>
  <si>
    <t>Operating Fund Revenue</t>
  </si>
  <si>
    <t xml:space="preserve">Prior Year State Appropriation </t>
  </si>
  <si>
    <t>Subtotal State Appropriation</t>
  </si>
  <si>
    <t>Mandatory Student Fees</t>
  </si>
  <si>
    <t>State Tuition Fee</t>
  </si>
  <si>
    <t>Non-Resident Tuition Fee</t>
  </si>
  <si>
    <t>Materials, Services and Facilities Fee (MSF)</t>
  </si>
  <si>
    <t>Other Fees and Revenue (MBA Fee, Application Fee, Cost Recovery, etc.)</t>
  </si>
  <si>
    <t>Operating Fund Revenue Estimate Subtotal</t>
  </si>
  <si>
    <t>Prior Operating Expenditure Budget</t>
  </si>
  <si>
    <t>University Wide Costs / Adjustments</t>
  </si>
  <si>
    <t>Budget Allocated to Depts from Fee Revenue Increases (MSF/MBA)</t>
  </si>
  <si>
    <t>Projected Benefit Increases - Health, etc.</t>
  </si>
  <si>
    <t xml:space="preserve">Projected Benefit Increase - Retirement </t>
  </si>
  <si>
    <t>Subtotal University Wide Costs / Adjustments</t>
  </si>
  <si>
    <t>Net Base Budget Surplus / (Deficit)</t>
  </si>
  <si>
    <t>Residential Academic Mentoring Program (RAMP)</t>
  </si>
  <si>
    <t>Early Alert Project</t>
  </si>
  <si>
    <t>Enrollment Growth Costs (additional lecturer costs)</t>
  </si>
  <si>
    <t>eLearning</t>
  </si>
  <si>
    <t>Summer Building Maintenance and Improvement Projects</t>
  </si>
  <si>
    <t>Net Surplus / (Deficit)</t>
  </si>
  <si>
    <t>*Projection Assumptions</t>
  </si>
  <si>
    <t>Enrollment: Resident FTES increase by 100 FTES each year, WUE FTES remain the same, Non-resident FTES increase by approximately 20 each year.</t>
  </si>
  <si>
    <t>State Appropriation: Reflects Governor's multi-year stable funding plan of a 5% increase in 2014-15 and 4% increases in 2015-16 and 2016-17.</t>
  </si>
  <si>
    <t>State Tuition Fee, Non-Resident Tuition Fee, MSF Fee: Revenue increases reflect enrollment growth and assume no changes to current fee rates.</t>
  </si>
  <si>
    <t>Benefits: Overall increase of approximately 5% each year. Assumes retirement portion continues to be funded by State.</t>
  </si>
  <si>
    <t>Compensation: Reflects selected compensation adjustments of approximately 2% each year.</t>
  </si>
  <si>
    <t>Utilities: Anticipates rising costs of about $100,000 each year.</t>
  </si>
  <si>
    <t>Revenue by FTES</t>
  </si>
  <si>
    <t>Every 100 resident FTES generate approximately $360,000 in net new revenue</t>
  </si>
  <si>
    <t>Every 100 WUE FTES generate approximately $540,000 in net new revenue</t>
  </si>
  <si>
    <t>Every 100 non-resident FTES generate approximately $1,400,000 in net new revenue</t>
  </si>
  <si>
    <t>Student Recruitment</t>
  </si>
  <si>
    <t xml:space="preserve">1. The Governor's budget included the $125 million augment contingent upon Prop 30 passing and CSU rolling back the 9% tuition increase. </t>
  </si>
  <si>
    <t>HSU 2012-13 
Budget</t>
  </si>
  <si>
    <t xml:space="preserve">Estimated Base Expenditure Budget </t>
  </si>
  <si>
    <t>2014-15
Projection*</t>
  </si>
  <si>
    <t>2015-16
Projection*</t>
  </si>
  <si>
    <t>2016-17
Projection*</t>
  </si>
  <si>
    <r>
      <t>State University Grant (SUG)</t>
    </r>
    <r>
      <rPr>
        <vertAlign val="superscript"/>
        <sz val="10"/>
        <rFont val="Arial"/>
        <family val="2"/>
      </rPr>
      <t>5</t>
    </r>
  </si>
  <si>
    <r>
      <t>Compensation Increases</t>
    </r>
    <r>
      <rPr>
        <vertAlign val="superscript"/>
        <sz val="10"/>
        <rFont val="Arial"/>
        <family val="2"/>
      </rPr>
      <t>6</t>
    </r>
  </si>
  <si>
    <r>
      <t>Utilities</t>
    </r>
    <r>
      <rPr>
        <vertAlign val="superscript"/>
        <sz val="10"/>
        <rFont val="Arial"/>
        <family val="2"/>
      </rPr>
      <t>7</t>
    </r>
  </si>
  <si>
    <r>
      <t>Estimated Beginning Fund Balance</t>
    </r>
    <r>
      <rPr>
        <vertAlign val="superscript"/>
        <sz val="10"/>
        <color theme="1"/>
        <rFont val="Arial"/>
        <family val="2"/>
      </rPr>
      <t>8</t>
    </r>
  </si>
  <si>
    <t>2. Reflects state appropriation allocation to cover one-third of projected CBA faculty equity increase.  Remaining two-thirds to be covered within Academic Affairs.</t>
  </si>
  <si>
    <r>
      <t>Faculty Equity Increase (1/3 funded by CSU, 2/3 by Academic Affairs)</t>
    </r>
    <r>
      <rPr>
        <vertAlign val="superscript"/>
        <sz val="10"/>
        <color theme="1"/>
        <rFont val="Arial"/>
        <family val="2"/>
      </rPr>
      <t>3</t>
    </r>
  </si>
  <si>
    <t>4. Retirement funding has been updated to reflect allocation amount provided by the Chancellor's Office.</t>
  </si>
  <si>
    <t>5. Currently, no additional State University Grant costs have been set aside in 2013-14 for the projected increase in enrollment.</t>
  </si>
  <si>
    <t>7. Savings were identified within University Wide to cover the Utilities increase.</t>
  </si>
  <si>
    <t>8. Estimated Beginning Fund Balance has increased to reflect estimated revenue over current year budget and year-end unexpended budget in General University.</t>
  </si>
  <si>
    <t>One-Time Initiatives:</t>
  </si>
  <si>
    <t>Subtotal One-Time Initiatives</t>
  </si>
  <si>
    <t>3. HSU will receive enrollment growth funding for 151 additional FTES, increasing our state funded resident FTES enrollment target to 7,151.</t>
  </si>
  <si>
    <t>Multi-year Stable Funding Plan (5%,4%,4%)</t>
  </si>
  <si>
    <t>http://calstate.edu/bot/agendas/sep13/Finance.pdf</t>
  </si>
  <si>
    <t>Estimated Enrollment Growth Funding</t>
  </si>
  <si>
    <t>Retirement Funding</t>
  </si>
  <si>
    <t xml:space="preserve">2.6% of CSU multi-year funding plan allocation: </t>
  </si>
  <si>
    <t>CMS Loan Payment Decrease</t>
  </si>
  <si>
    <t>Cogen Plant Expense Decrease</t>
  </si>
  <si>
    <t>remaining 900k in 2017-18</t>
  </si>
  <si>
    <t>6. Reflects selected compensation increases of approximately 2% for multi-year planning purposes only.</t>
  </si>
  <si>
    <t>2014-15
Last Year Planning Breakdown</t>
  </si>
  <si>
    <t>2014-15 Enrollment - 
Student Mix Impact</t>
  </si>
  <si>
    <t>2014-15
Update based on Fall 2013</t>
  </si>
  <si>
    <t>Change in student mix</t>
  </si>
  <si>
    <t>Total State Tuition and Non-Resident Fees</t>
  </si>
  <si>
    <t>Increase from 2013-14 Budget</t>
  </si>
  <si>
    <t>Net Budget Increase</t>
  </si>
  <si>
    <t>(Less 1/3 SUG set aside)</t>
  </si>
  <si>
    <t>Budget</t>
  </si>
  <si>
    <t>Actual Update</t>
  </si>
  <si>
    <t>Enrollment Growth Funding (123*2891)</t>
  </si>
  <si>
    <t xml:space="preserve">80% of 2.6% of CSU multi-year funding plan allocation: </t>
  </si>
  <si>
    <t>What is 5% of Expenditures</t>
  </si>
  <si>
    <t>Ending Fund Balance less 5%</t>
  </si>
  <si>
    <t>Education Advisory Board Student Success Module (EAB)</t>
  </si>
  <si>
    <t>Base Initiatives</t>
  </si>
  <si>
    <t>10% set-aside for dedicated activities</t>
  </si>
  <si>
    <t>10% set-aside dedicated activities</t>
  </si>
  <si>
    <t>Enrollment Growth Model Funding</t>
  </si>
  <si>
    <t>Enrollment Growth Funding - CSU 13/14 $768,000</t>
  </si>
  <si>
    <t>Multi-year Stable Funding Plan (5%,4%,4%) @ 80%</t>
  </si>
  <si>
    <t>2013-14 Updated Budget
(CSU Memo)</t>
  </si>
  <si>
    <r>
      <rPr>
        <sz val="14"/>
        <rFont val="Arial"/>
        <family val="2"/>
      </rPr>
      <t>HSU Base Budget - DRAFT</t>
    </r>
    <r>
      <rPr>
        <sz val="10"/>
        <rFont val="Arial"/>
        <family val="2"/>
      </rPr>
      <t xml:space="preserve">
Revised October 10, 2013</t>
    </r>
  </si>
  <si>
    <t>Enrollment Management Resident FTES Target</t>
  </si>
  <si>
    <t xml:space="preserve">Ending Fund Balance </t>
  </si>
  <si>
    <t>(as a % of expenditures)</t>
  </si>
  <si>
    <t>What is 5% of Expenditures?</t>
  </si>
  <si>
    <t>Ending Fund Balance less 5% Level</t>
  </si>
  <si>
    <t>3 yr growth</t>
  </si>
  <si>
    <t>FTES</t>
  </si>
  <si>
    <t>Projected Surplus/Shortfall</t>
  </si>
  <si>
    <r>
      <rPr>
        <sz val="14"/>
        <rFont val="Arial"/>
        <family val="2"/>
      </rPr>
      <t xml:space="preserve">HSU Base Budget - DRAFT
</t>
    </r>
    <r>
      <rPr>
        <sz val="10"/>
        <rFont val="Arial"/>
        <family val="2"/>
      </rPr>
      <t xml:space="preserve">
Revised October 10, 2013</t>
    </r>
  </si>
  <si>
    <t>Res</t>
  </si>
  <si>
    <t>WUE</t>
  </si>
  <si>
    <t>Non-res</t>
  </si>
  <si>
    <t>SHIFTED TO BASE</t>
  </si>
  <si>
    <t>Enrollment Growth Model Base Funding</t>
  </si>
  <si>
    <t>Enrollment Growth Model One-Time Funding</t>
  </si>
  <si>
    <t>Enrollment Growth Funding - Est. CSU allocation for ~100 FTES</t>
  </si>
  <si>
    <t>2017-18
Projection*</t>
  </si>
  <si>
    <r>
      <rPr>
        <sz val="14"/>
        <rFont val="Arial"/>
        <family val="2"/>
      </rPr>
      <t>HSU Base Budget - DRAFT</t>
    </r>
    <r>
      <rPr>
        <sz val="10"/>
        <rFont val="Arial"/>
        <family val="2"/>
      </rPr>
      <t xml:space="preserve">
Revised October 17, 2013</t>
    </r>
  </si>
  <si>
    <t>4 yr growth</t>
  </si>
  <si>
    <t>Ongoing positions funded on one-time</t>
  </si>
  <si>
    <t>Base fund positions funded on one-time</t>
  </si>
  <si>
    <t>Set-aside base funding for annual one-time initiatives</t>
  </si>
  <si>
    <t>included in multi-year stable funding above</t>
  </si>
  <si>
    <t>`</t>
  </si>
  <si>
    <t>Compensation Funding from 13-14 125.1M</t>
  </si>
  <si>
    <t>20% set-aside for dedicated activities</t>
  </si>
  <si>
    <t>Multi-year Stable Funding Plan (5%,4%,4%) @ 70%</t>
  </si>
  <si>
    <r>
      <rPr>
        <sz val="14"/>
        <rFont val="Arial"/>
        <family val="2"/>
      </rPr>
      <t>HSU Base Budget - DRAFT</t>
    </r>
    <r>
      <rPr>
        <sz val="10"/>
        <rFont val="Arial"/>
        <family val="2"/>
      </rPr>
      <t xml:space="preserve">
</t>
    </r>
    <r>
      <rPr>
        <sz val="14"/>
        <color rgb="FFFF0000"/>
        <rFont val="Arial"/>
        <family val="2"/>
      </rPr>
      <t>Best Guess - 70%/20% State Approp.</t>
    </r>
    <r>
      <rPr>
        <sz val="10"/>
        <rFont val="Arial"/>
        <family val="2"/>
      </rPr>
      <t xml:space="preserve">
Revised October 17, 2013</t>
    </r>
  </si>
  <si>
    <t>Other Fees and Revenue (MBA Fee, App Fee, CR, etc)</t>
  </si>
  <si>
    <t>State University Grant (SUG)</t>
  </si>
  <si>
    <t>Utilities</t>
  </si>
  <si>
    <t>Summer Building Projects</t>
  </si>
  <si>
    <t>a</t>
  </si>
  <si>
    <t>b</t>
  </si>
  <si>
    <t>c</t>
  </si>
  <si>
    <t>2013-14 Revised Budget</t>
  </si>
  <si>
    <t>2013-14 Original Budget</t>
  </si>
  <si>
    <t>Beginning Fund Balance</t>
  </si>
  <si>
    <t>2014-15
Projection</t>
  </si>
  <si>
    <t>2015-16
Projection</t>
  </si>
  <si>
    <t>2016-17
Projection</t>
  </si>
  <si>
    <t>2017-18
Projection</t>
  </si>
  <si>
    <t>2018-19
Projection</t>
  </si>
  <si>
    <t>Subtotal Other Operating Revenues</t>
  </si>
  <si>
    <t>TOTAL Operating Fund Revenue Estimate</t>
  </si>
  <si>
    <t>Salaries</t>
  </si>
  <si>
    <t>Benefits</t>
  </si>
  <si>
    <t>Financial Aid</t>
  </si>
  <si>
    <t>Subtotal Other Operating Expenditures</t>
  </si>
  <si>
    <t>TOTAL Operating Fund Expense Estimate</t>
  </si>
  <si>
    <t>Projected Compensation Increases</t>
  </si>
  <si>
    <t>2013-14 Compensation Increases</t>
  </si>
  <si>
    <t>Net Budget Surplus / (Deficit)</t>
  </si>
  <si>
    <t>Current Year One-Time Initiatives</t>
  </si>
  <si>
    <t>Enrollment Growth Model One Time Funding</t>
  </si>
  <si>
    <t>TOTAL One-Time Initiatives</t>
  </si>
  <si>
    <t>Subtotal One Time Adjustments</t>
  </si>
  <si>
    <t>Compensation Funding from CSU (13-14)</t>
  </si>
  <si>
    <t>Dedicate Budget Allocated to Depts</t>
  </si>
  <si>
    <t>Other Operating Expenditures</t>
  </si>
  <si>
    <t>Budgeted Annual Enrollment Targets</t>
  </si>
  <si>
    <t>2013-14 Estimate*</t>
  </si>
  <si>
    <t>2014-15</t>
  </si>
  <si>
    <t>2015-16</t>
  </si>
  <si>
    <t>2016-17</t>
  </si>
  <si>
    <t>2017-18</t>
  </si>
  <si>
    <t>Resident FTES</t>
  </si>
  <si>
    <t>WUE FTES</t>
  </si>
  <si>
    <t>Out-of-State FTES</t>
  </si>
  <si>
    <t>International FTES</t>
  </si>
  <si>
    <t>Total FTES</t>
  </si>
  <si>
    <t>Change from Prior Year FTES</t>
  </si>
  <si>
    <t>Total Headcount Target</t>
  </si>
  <si>
    <t>Resident FTES Target</t>
  </si>
  <si>
    <t>Total FTES Target</t>
  </si>
  <si>
    <t>TOTAL Base Operating Fund Expense Estimate</t>
  </si>
  <si>
    <t>2013-14 CSU Budget Memo</t>
  </si>
  <si>
    <t>Total Prior Year Base Expenditure Budget</t>
  </si>
  <si>
    <t>Prior Year Base Expenditure Budget</t>
  </si>
  <si>
    <t>Base Expenditure Budget</t>
  </si>
  <si>
    <t>Anticipated Current Year Savings</t>
  </si>
  <si>
    <t>RAMP</t>
  </si>
  <si>
    <t>Base Revenue Budget</t>
  </si>
  <si>
    <t>Projected Base Surplus/Deficit</t>
  </si>
  <si>
    <t>One-Time Allocations</t>
  </si>
  <si>
    <t>Fund Balance</t>
  </si>
  <si>
    <t>Color Legend</t>
  </si>
  <si>
    <t xml:space="preserve">Enrollment Growth Funding from CSU </t>
  </si>
  <si>
    <t>What is 4% of Expenditures?</t>
  </si>
  <si>
    <t>Ending Fund Balance less 4% Level</t>
  </si>
  <si>
    <t>Net Budget Surplus</t>
  </si>
  <si>
    <t>Budget Available at 5% and 4% Levels</t>
  </si>
  <si>
    <t>One-Time Initiatives</t>
  </si>
  <si>
    <t>Multi-year Stable Funding Plan (5%,4%,4%) @ 90%</t>
  </si>
  <si>
    <t>Total Base Enrollment Growth</t>
  </si>
  <si>
    <t>BASE</t>
  </si>
  <si>
    <t>ONE-TIME</t>
  </si>
  <si>
    <t>President</t>
  </si>
  <si>
    <t>University Advancement</t>
  </si>
  <si>
    <t>Academic Affairs</t>
  </si>
  <si>
    <t>Student Affairs</t>
  </si>
  <si>
    <t>University Wide</t>
  </si>
  <si>
    <t>%</t>
  </si>
  <si>
    <t>Administrative Affairs</t>
  </si>
  <si>
    <t>BASE DISTRIBUTION BY DIVISION</t>
  </si>
  <si>
    <t>ONE-TIME DISTRIBUTION BY DIVISION</t>
  </si>
  <si>
    <t>Amount</t>
  </si>
  <si>
    <t>2014-15 Enrollment Growth Funding</t>
  </si>
  <si>
    <t>One-Time Adjustments</t>
  </si>
  <si>
    <t>TOTAL Base Operating Fund Expense Budget</t>
  </si>
  <si>
    <t>TOTAL Operating Fund Expense Budget</t>
  </si>
  <si>
    <t>Subtotal One-Time Adjustments</t>
  </si>
  <si>
    <t xml:space="preserve"> </t>
  </si>
  <si>
    <r>
      <rPr>
        <sz val="14"/>
        <rFont val="Arial"/>
        <family val="2"/>
      </rPr>
      <t xml:space="preserve">HSU Budget Planning Sheet - DRAFT
</t>
    </r>
    <r>
      <rPr>
        <sz val="10"/>
        <rFont val="Arial"/>
        <family val="2"/>
      </rPr>
      <t xml:space="preserve">
Revised February 7, 2014</t>
    </r>
  </si>
  <si>
    <t>(as a % of base expenditures)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</si>
</sst>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  <numFmt numFmtId="165" formatCode="0.0%"/>
    <numFmt numFmtId="166" formatCode="_(* #,##0.000_);_(* \(#,##0.000\);_(* \-??_);_(@_)"/>
    <numFmt numFmtId="167" formatCode="_(* #,##0_);_(* \(#,##0\);_(* &quot;-&quot;??_);_(@_)"/>
  </numFmts>
  <fonts count="6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4"/>
      <name val="Arial"/>
      <family val="2"/>
    </font>
    <font>
      <b/>
      <sz val="11"/>
      <color theme="0" tint="-0.34998626667073579"/>
      <name val="Calibri"/>
      <family val="2"/>
    </font>
    <font>
      <b/>
      <sz val="11"/>
      <color indexed="8"/>
      <name val="Calibri"/>
      <family val="2"/>
    </font>
    <font>
      <sz val="10"/>
      <color theme="0" tint="-0.34998626667073579"/>
      <name val="Arial"/>
      <family val="2"/>
    </font>
    <font>
      <b/>
      <sz val="10"/>
      <color indexed="8"/>
      <name val="Arial"/>
      <family val="2"/>
    </font>
    <font>
      <b/>
      <sz val="10"/>
      <color theme="0" tint="-0.34998626667073579"/>
      <name val="Arial"/>
      <family val="2"/>
    </font>
    <font>
      <sz val="10"/>
      <color theme="3" tint="0.3999755851924192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Microsoft Sans Serif"/>
      <family val="2"/>
    </font>
    <font>
      <b/>
      <sz val="9"/>
      <color indexed="8"/>
      <name val="Tahoma"/>
      <family val="2"/>
    </font>
    <font>
      <vertAlign val="superscript"/>
      <sz val="10"/>
      <color theme="1"/>
      <name val="Arial"/>
      <family val="2"/>
    </font>
    <font>
      <b/>
      <sz val="11"/>
      <color theme="0" tint="-0.499984740745262"/>
      <name val="Calibri"/>
      <family val="2"/>
    </font>
    <font>
      <sz val="10"/>
      <color rgb="FFFF0000"/>
      <name val="Arial"/>
      <family val="2"/>
    </font>
    <font>
      <b/>
      <sz val="11"/>
      <color theme="3" tint="0.39997558519241921"/>
      <name val="Calibri"/>
      <family val="2"/>
    </font>
    <font>
      <sz val="11"/>
      <color theme="3" tint="0.3999755851924192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mbria"/>
      <family val="1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  <font>
      <b/>
      <sz val="11"/>
      <color theme="1" tint="0.34998626667073579"/>
      <name val="Calibri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name val="Arial"/>
    </font>
  </fonts>
  <fills count="7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9DD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76A676"/>
      </left>
      <right style="medium">
        <color rgb="FF76A676"/>
      </right>
      <top style="medium">
        <color rgb="FF76A676"/>
      </top>
      <bottom style="thick">
        <color rgb="FF76A676"/>
      </bottom>
      <diagonal/>
    </border>
    <border>
      <left/>
      <right style="medium">
        <color rgb="FF76A676"/>
      </right>
      <top style="medium">
        <color rgb="FF76A676"/>
      </top>
      <bottom style="thick">
        <color rgb="FF76A676"/>
      </bottom>
      <diagonal/>
    </border>
    <border>
      <left style="medium">
        <color rgb="FF76A676"/>
      </left>
      <right style="medium">
        <color rgb="FF76A676"/>
      </right>
      <top/>
      <bottom style="medium">
        <color rgb="FF76A676"/>
      </bottom>
      <diagonal/>
    </border>
    <border>
      <left/>
      <right style="medium">
        <color rgb="FF76A676"/>
      </right>
      <top/>
      <bottom style="medium">
        <color rgb="FF76A676"/>
      </bottom>
      <diagonal/>
    </border>
  </borders>
  <cellStyleXfs count="427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28" fillId="0" borderId="0"/>
    <xf numFmtId="0" fontId="3" fillId="0" borderId="0"/>
    <xf numFmtId="0" fontId="3" fillId="0" borderId="0"/>
    <xf numFmtId="0" fontId="2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24" fillId="0" borderId="0"/>
    <xf numFmtId="0" fontId="5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9" fillId="42" borderId="22">
      <alignment vertical="center"/>
    </xf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0" applyNumberFormat="0" applyBorder="0" applyAlignment="0" applyProtection="0"/>
    <xf numFmtId="0" fontId="44" fillId="52" borderId="26" applyNumberFormat="0" applyAlignment="0" applyProtection="0"/>
    <xf numFmtId="0" fontId="45" fillId="53" borderId="27" applyNumberFormat="0" applyAlignment="0" applyProtection="0"/>
    <xf numFmtId="0" fontId="46" fillId="53" borderId="26" applyNumberFormat="0" applyAlignment="0" applyProtection="0"/>
    <xf numFmtId="0" fontId="47" fillId="0" borderId="28" applyNumberFormat="0" applyFill="0" applyAlignment="0" applyProtection="0"/>
    <xf numFmtId="0" fontId="48" fillId="54" borderId="2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2" fillId="55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2" fillId="58" borderId="0" applyNumberFormat="0" applyBorder="0" applyAlignment="0" applyProtection="0"/>
    <xf numFmtId="0" fontId="52" fillId="5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52" fillId="64" borderId="0" applyNumberFormat="0" applyBorder="0" applyAlignment="0" applyProtection="0"/>
    <xf numFmtId="0" fontId="52" fillId="6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2" fillId="66" borderId="0" applyNumberFormat="0" applyBorder="0" applyAlignment="0" applyProtection="0"/>
    <xf numFmtId="0" fontId="53" fillId="0" borderId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4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5" fillId="0" borderId="0"/>
    <xf numFmtId="0" fontId="2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4">
    <xf numFmtId="0" fontId="0" fillId="0" borderId="0" xfId="0"/>
    <xf numFmtId="0" fontId="0" fillId="15" borderId="2" xfId="0" applyFont="1" applyFill="1" applyBorder="1" applyAlignment="1">
      <alignment vertical="center" wrapText="1"/>
    </xf>
    <xf numFmtId="0" fontId="5" fillId="15" borderId="3" xfId="0" applyFont="1" applyFill="1" applyBorder="1" applyAlignment="1">
      <alignment vertical="center"/>
    </xf>
    <xf numFmtId="164" fontId="7" fillId="15" borderId="5" xfId="1" applyNumberFormat="1" applyFont="1" applyFill="1" applyBorder="1" applyAlignment="1" applyProtection="1">
      <alignment horizontal="center" vertical="center" wrapText="1"/>
    </xf>
    <xf numFmtId="164" fontId="8" fillId="15" borderId="5" xfId="1" applyNumberFormat="1" applyFont="1" applyFill="1" applyBorder="1" applyAlignment="1" applyProtection="1">
      <alignment horizontal="center" vertical="center" wrapText="1"/>
    </xf>
    <xf numFmtId="0" fontId="0" fillId="16" borderId="0" xfId="0" applyFill="1" applyAlignment="1">
      <alignment vertical="center"/>
    </xf>
    <xf numFmtId="0" fontId="5" fillId="15" borderId="2" xfId="0" applyFont="1" applyFill="1" applyBorder="1" applyAlignment="1"/>
    <xf numFmtId="0" fontId="5" fillId="15" borderId="0" xfId="0" applyFont="1" applyFill="1" applyBorder="1" applyAlignment="1"/>
    <xf numFmtId="165" fontId="9" fillId="15" borderId="6" xfId="2" applyNumberFormat="1" applyFont="1" applyFill="1" applyBorder="1" applyAlignment="1" applyProtection="1">
      <alignment horizontal="right"/>
    </xf>
    <xf numFmtId="165" fontId="5" fillId="15" borderId="7" xfId="2" applyNumberFormat="1" applyFont="1" applyFill="1" applyBorder="1" applyAlignment="1" applyProtection="1">
      <alignment horizontal="right"/>
    </xf>
    <xf numFmtId="0" fontId="8" fillId="16" borderId="0" xfId="0" applyFont="1" applyFill="1" applyAlignment="1"/>
    <xf numFmtId="0" fontId="5" fillId="15" borderId="8" xfId="0" applyFont="1" applyFill="1" applyBorder="1" applyAlignment="1">
      <alignment vertical="center"/>
    </xf>
    <xf numFmtId="0" fontId="5" fillId="15" borderId="0" xfId="0" applyFont="1" applyFill="1" applyBorder="1" applyAlignment="1">
      <alignment vertical="center"/>
    </xf>
    <xf numFmtId="166" fontId="9" fillId="15" borderId="6" xfId="1" applyNumberFormat="1" applyFont="1" applyFill="1" applyBorder="1" applyAlignment="1" applyProtection="1">
      <alignment vertical="center"/>
    </xf>
    <xf numFmtId="166" fontId="5" fillId="15" borderId="6" xfId="1" applyNumberFormat="1" applyFont="1" applyFill="1" applyBorder="1" applyAlignment="1" applyProtection="1">
      <alignment vertical="center"/>
    </xf>
    <xf numFmtId="0" fontId="8" fillId="16" borderId="0" xfId="0" applyFont="1" applyFill="1" applyAlignment="1">
      <alignment vertical="center"/>
    </xf>
    <xf numFmtId="164" fontId="9" fillId="15" borderId="6" xfId="1" applyNumberFormat="1" applyFont="1" applyFill="1" applyBorder="1" applyAlignment="1" applyProtection="1">
      <alignment vertical="center"/>
    </xf>
    <xf numFmtId="164" fontId="5" fillId="15" borderId="6" xfId="1" applyNumberFormat="1" applyFont="1" applyFill="1" applyBorder="1" applyAlignment="1" applyProtection="1">
      <alignment vertical="center"/>
    </xf>
    <xf numFmtId="9" fontId="0" fillId="16" borderId="0" xfId="2" applyFont="1" applyFill="1" applyAlignment="1">
      <alignment vertical="center"/>
    </xf>
    <xf numFmtId="0" fontId="0" fillId="16" borderId="0" xfId="0" applyFont="1" applyFill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7" fontId="11" fillId="0" borderId="6" xfId="1" applyNumberFormat="1" applyFont="1" applyFill="1" applyBorder="1" applyAlignment="1" applyProtection="1">
      <alignment vertical="center"/>
    </xf>
    <xf numFmtId="167" fontId="10" fillId="0" borderId="6" xfId="1" applyNumberFormat="1" applyFont="1" applyFill="1" applyBorder="1" applyAlignment="1" applyProtection="1">
      <alignment vertical="center"/>
    </xf>
    <xf numFmtId="0" fontId="12" fillId="15" borderId="8" xfId="0" applyFont="1" applyFill="1" applyBorder="1" applyAlignment="1">
      <alignment vertical="center"/>
    </xf>
    <xf numFmtId="0" fontId="12" fillId="15" borderId="0" xfId="0" applyFont="1" applyFill="1" applyBorder="1" applyAlignment="1">
      <alignment vertical="center"/>
    </xf>
    <xf numFmtId="167" fontId="12" fillId="15" borderId="6" xfId="1" applyNumberFormat="1" applyFont="1" applyFill="1" applyBorder="1" applyAlignment="1" applyProtection="1">
      <alignment vertical="center"/>
    </xf>
    <xf numFmtId="0" fontId="13" fillId="16" borderId="0" xfId="0" applyFont="1" applyFill="1" applyAlignment="1">
      <alignment vertical="center"/>
    </xf>
    <xf numFmtId="0" fontId="10" fillId="15" borderId="8" xfId="0" applyFont="1" applyFill="1" applyBorder="1" applyAlignment="1">
      <alignment vertical="center"/>
    </xf>
    <xf numFmtId="0" fontId="10" fillId="15" borderId="0" xfId="0" applyFont="1" applyFill="1" applyBorder="1" applyAlignment="1">
      <alignment vertical="center"/>
    </xf>
    <xf numFmtId="167" fontId="11" fillId="15" borderId="6" xfId="1" applyNumberFormat="1" applyFont="1" applyFill="1" applyBorder="1" applyAlignment="1" applyProtection="1">
      <alignment vertical="center"/>
    </xf>
    <xf numFmtId="167" fontId="10" fillId="15" borderId="6" xfId="1" applyNumberFormat="1" applyFont="1" applyFill="1" applyBorder="1" applyAlignment="1" applyProtection="1">
      <alignment vertical="center"/>
    </xf>
    <xf numFmtId="0" fontId="14" fillId="15" borderId="8" xfId="0" applyFont="1" applyFill="1" applyBorder="1" applyAlignment="1">
      <alignment vertical="center"/>
    </xf>
    <xf numFmtId="0" fontId="14" fillId="15" borderId="0" xfId="0" applyFont="1" applyFill="1" applyBorder="1" applyAlignment="1">
      <alignment vertical="center"/>
    </xf>
    <xf numFmtId="0" fontId="5" fillId="15" borderId="8" xfId="0" applyFont="1" applyFill="1" applyBorder="1" applyAlignment="1">
      <alignment horizontal="left" vertical="center" indent="1"/>
    </xf>
    <xf numFmtId="0" fontId="5" fillId="15" borderId="0" xfId="0" applyFont="1" applyFill="1" applyBorder="1" applyAlignment="1">
      <alignment horizontal="left" vertical="center" indent="1"/>
    </xf>
    <xf numFmtId="167" fontId="9" fillId="15" borderId="6" xfId="1" applyNumberFormat="1" applyFont="1" applyFill="1" applyBorder="1" applyAlignment="1" applyProtection="1">
      <alignment vertical="center"/>
    </xf>
    <xf numFmtId="167" fontId="5" fillId="15" borderId="6" xfId="1" applyNumberFormat="1" applyFont="1" applyFill="1" applyBorder="1" applyAlignment="1" applyProtection="1">
      <alignment vertical="center"/>
    </xf>
    <xf numFmtId="0" fontId="0" fillId="0" borderId="8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167" fontId="9" fillId="0" borderId="6" xfId="1" applyNumberFormat="1" applyFont="1" applyFill="1" applyBorder="1" applyAlignment="1" applyProtection="1">
      <alignment vertical="center"/>
    </xf>
    <xf numFmtId="167" fontId="5" fillId="0" borderId="6" xfId="1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4" fillId="0" borderId="8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 indent="1"/>
    </xf>
    <xf numFmtId="167" fontId="14" fillId="0" borderId="6" xfId="1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8" xfId="0" applyFont="1" applyFill="1" applyBorder="1" applyAlignment="1">
      <alignment horizontal="left" vertical="center" indent="2"/>
    </xf>
    <xf numFmtId="164" fontId="9" fillId="0" borderId="6" xfId="1" applyNumberFormat="1" applyFont="1" applyFill="1" applyBorder="1" applyAlignment="1" applyProtection="1">
      <alignment vertical="center"/>
    </xf>
    <xf numFmtId="164" fontId="5" fillId="0" borderId="6" xfId="1" applyNumberFormat="1" applyFont="1" applyFill="1" applyBorder="1" applyAlignment="1" applyProtection="1">
      <alignment vertical="center"/>
    </xf>
    <xf numFmtId="9" fontId="0" fillId="0" borderId="0" xfId="2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164" fontId="9" fillId="0" borderId="9" xfId="1" applyNumberFormat="1" applyFont="1" applyFill="1" applyBorder="1" applyAlignment="1" applyProtection="1">
      <alignment vertical="center"/>
    </xf>
    <xf numFmtId="164" fontId="5" fillId="0" borderId="9" xfId="1" applyNumberFormat="1" applyFont="1" applyFill="1" applyBorder="1" applyAlignment="1" applyProtection="1">
      <alignment vertical="center"/>
    </xf>
    <xf numFmtId="0" fontId="14" fillId="17" borderId="8" xfId="0" applyFont="1" applyFill="1" applyBorder="1" applyAlignment="1">
      <alignment vertical="center"/>
    </xf>
    <xf numFmtId="0" fontId="14" fillId="17" borderId="0" xfId="0" applyFont="1" applyFill="1" applyBorder="1" applyAlignment="1">
      <alignment vertical="center"/>
    </xf>
    <xf numFmtId="167" fontId="16" fillId="17" borderId="5" xfId="1" applyNumberFormat="1" applyFont="1" applyFill="1" applyBorder="1" applyAlignment="1">
      <alignment vertical="center"/>
    </xf>
    <xf numFmtId="167" fontId="14" fillId="17" borderId="5" xfId="1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7" fontId="5" fillId="0" borderId="10" xfId="1" applyNumberFormat="1" applyFont="1" applyFill="1" applyBorder="1" applyAlignment="1">
      <alignment vertical="center"/>
    </xf>
    <xf numFmtId="167" fontId="11" fillId="0" borderId="11" xfId="1" applyNumberFormat="1" applyFont="1" applyFill="1" applyBorder="1" applyAlignment="1">
      <alignment vertical="center"/>
    </xf>
    <xf numFmtId="167" fontId="14" fillId="0" borderId="11" xfId="1" applyNumberFormat="1" applyFont="1" applyFill="1" applyBorder="1" applyAlignment="1">
      <alignment vertical="center"/>
    </xf>
    <xf numFmtId="167" fontId="11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8" xfId="0" applyFont="1" applyFill="1" applyBorder="1" applyAlignment="1">
      <alignment horizontal="left" vertical="center" indent="1"/>
    </xf>
    <xf numFmtId="164" fontId="11" fillId="0" borderId="5" xfId="1" applyNumberFormat="1" applyFont="1" applyFill="1" applyBorder="1" applyAlignment="1" applyProtection="1">
      <alignment vertical="center"/>
    </xf>
    <xf numFmtId="164" fontId="14" fillId="0" borderId="5" xfId="1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67" fontId="11" fillId="0" borderId="10" xfId="0" applyNumberFormat="1" applyFont="1" applyFill="1" applyBorder="1" applyAlignment="1">
      <alignment vertical="center"/>
    </xf>
    <xf numFmtId="167" fontId="10" fillId="0" borderId="1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64" fontId="9" fillId="0" borderId="10" xfId="1" applyNumberFormat="1" applyFont="1" applyFill="1" applyBorder="1" applyAlignment="1" applyProtection="1">
      <alignment vertical="center"/>
    </xf>
    <xf numFmtId="164" fontId="5" fillId="0" borderId="13" xfId="1" applyNumberFormat="1" applyFont="1" applyFill="1" applyBorder="1" applyAlignment="1" applyProtection="1">
      <alignment vertical="center"/>
    </xf>
    <xf numFmtId="0" fontId="10" fillId="18" borderId="14" xfId="0" applyFont="1" applyFill="1" applyBorder="1" applyAlignment="1">
      <alignment vertical="center"/>
    </xf>
    <xf numFmtId="0" fontId="10" fillId="18" borderId="15" xfId="0" applyFont="1" applyFill="1" applyBorder="1" applyAlignment="1">
      <alignment vertical="center"/>
    </xf>
    <xf numFmtId="167" fontId="11" fillId="18" borderId="11" xfId="0" applyNumberFormat="1" applyFont="1" applyFill="1" applyBorder="1" applyAlignment="1">
      <alignment vertical="center"/>
    </xf>
    <xf numFmtId="167" fontId="10" fillId="18" borderId="16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8" fillId="0" borderId="8" xfId="3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167" fontId="18" fillId="0" borderId="17" xfId="4" applyNumberFormat="1" applyFont="1" applyFill="1" applyBorder="1" applyAlignment="1">
      <alignment vertical="center"/>
    </xf>
    <xf numFmtId="167" fontId="18" fillId="0" borderId="18" xfId="4" applyNumberFormat="1" applyFont="1" applyFill="1" applyBorder="1" applyAlignment="1">
      <alignment vertical="center"/>
    </xf>
    <xf numFmtId="167" fontId="18" fillId="0" borderId="7" xfId="4" applyNumberFormat="1" applyFont="1" applyFill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9" fillId="0" borderId="8" xfId="3" applyFont="1" applyFill="1" applyBorder="1" applyAlignment="1">
      <alignment vertical="center"/>
    </xf>
    <xf numFmtId="167" fontId="18" fillId="0" borderId="0" xfId="4" applyNumberFormat="1" applyFont="1" applyFill="1" applyBorder="1" applyAlignment="1">
      <alignment vertical="center"/>
    </xf>
    <xf numFmtId="167" fontId="18" fillId="0" borderId="6" xfId="4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167" fontId="19" fillId="0" borderId="6" xfId="4" applyNumberFormat="1" applyFont="1" applyFill="1" applyBorder="1" applyAlignment="1">
      <alignment vertical="center"/>
    </xf>
    <xf numFmtId="167" fontId="19" fillId="0" borderId="7" xfId="4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0" applyNumberFormat="1" applyFont="1" applyFill="1" applyAlignment="1">
      <alignment vertical="center"/>
    </xf>
    <xf numFmtId="164" fontId="14" fillId="0" borderId="19" xfId="1" applyNumberFormat="1" applyFont="1" applyFill="1" applyBorder="1" applyAlignment="1" applyProtection="1">
      <alignment vertical="center"/>
    </xf>
    <xf numFmtId="164" fontId="14" fillId="0" borderId="20" xfId="1" applyNumberFormat="1" applyFont="1" applyFill="1" applyBorder="1" applyAlignment="1" applyProtection="1">
      <alignment vertical="center"/>
    </xf>
    <xf numFmtId="167" fontId="16" fillId="0" borderId="11" xfId="4" applyNumberFormat="1" applyFont="1" applyFill="1" applyBorder="1" applyAlignment="1">
      <alignment vertical="center"/>
    </xf>
    <xf numFmtId="167" fontId="19" fillId="0" borderId="16" xfId="4" applyNumberFormat="1" applyFont="1" applyFill="1" applyBorder="1" applyAlignment="1">
      <alignment vertical="center"/>
    </xf>
    <xf numFmtId="167" fontId="20" fillId="0" borderId="6" xfId="4" applyNumberFormat="1" applyFont="1" applyFill="1" applyBorder="1" applyAlignment="1">
      <alignment vertical="center"/>
    </xf>
    <xf numFmtId="0" fontId="19" fillId="19" borderId="21" xfId="3" applyFont="1" applyFill="1" applyBorder="1" applyAlignment="1">
      <alignment vertical="center"/>
    </xf>
    <xf numFmtId="0" fontId="19" fillId="19" borderId="3" xfId="3" applyFont="1" applyFill="1" applyBorder="1" applyAlignment="1">
      <alignment vertical="center"/>
    </xf>
    <xf numFmtId="167" fontId="19" fillId="19" borderId="20" xfId="4" applyNumberFormat="1" applyFont="1" applyFill="1" applyBorder="1" applyAlignment="1">
      <alignment vertical="center"/>
    </xf>
    <xf numFmtId="167" fontId="16" fillId="19" borderId="11" xfId="4" applyNumberFormat="1" applyFont="1" applyFill="1" applyBorder="1" applyAlignment="1">
      <alignment vertical="center"/>
    </xf>
    <xf numFmtId="167" fontId="19" fillId="19" borderId="4" xfId="4" applyNumberFormat="1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67" fontId="10" fillId="0" borderId="17" xfId="0" applyNumberFormat="1" applyFont="1" applyFill="1" applyBorder="1" applyAlignment="1">
      <alignment vertical="center"/>
    </xf>
    <xf numFmtId="164" fontId="13" fillId="0" borderId="0" xfId="1" applyNumberFormat="1" applyFont="1" applyFill="1" applyAlignment="1">
      <alignment vertical="center"/>
    </xf>
    <xf numFmtId="0" fontId="21" fillId="16" borderId="0" xfId="0" applyFont="1" applyFill="1" applyAlignment="1">
      <alignment vertical="center"/>
    </xf>
    <xf numFmtId="164" fontId="0" fillId="16" borderId="0" xfId="1" applyNumberFormat="1" applyFont="1" applyFill="1" applyBorder="1" applyAlignment="1" applyProtection="1">
      <alignment vertical="center"/>
    </xf>
    <xf numFmtId="164" fontId="0" fillId="20" borderId="0" xfId="1" applyNumberFormat="1" applyFont="1" applyFill="1" applyBorder="1" applyAlignment="1" applyProtection="1">
      <alignment vertical="center"/>
    </xf>
    <xf numFmtId="0" fontId="18" fillId="0" borderId="8" xfId="3" applyFont="1" applyFill="1" applyBorder="1" applyAlignment="1">
      <alignment horizontal="left" vertical="center" indent="1"/>
    </xf>
    <xf numFmtId="0" fontId="0" fillId="16" borderId="0" xfId="0" applyFill="1" applyAlignment="1">
      <alignment vertical="center" wrapText="1"/>
    </xf>
    <xf numFmtId="164" fontId="0" fillId="16" borderId="0" xfId="1" applyNumberFormat="1" applyFont="1" applyFill="1" applyBorder="1" applyAlignment="1" applyProtection="1">
      <alignment vertical="center" wrapText="1"/>
    </xf>
    <xf numFmtId="0" fontId="21" fillId="16" borderId="0" xfId="0" applyFont="1" applyFill="1" applyAlignment="1">
      <alignment vertical="center" wrapText="1"/>
    </xf>
    <xf numFmtId="0" fontId="0" fillId="2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167" fontId="10" fillId="15" borderId="8" xfId="1" applyNumberFormat="1" applyFont="1" applyFill="1" applyBorder="1" applyAlignment="1" applyProtection="1">
      <alignment vertical="center"/>
    </xf>
    <xf numFmtId="164" fontId="5" fillId="15" borderId="8" xfId="1" applyNumberFormat="1" applyFont="1" applyFill="1" applyBorder="1" applyAlignment="1" applyProtection="1">
      <alignment vertical="center"/>
    </xf>
    <xf numFmtId="0" fontId="8" fillId="16" borderId="0" xfId="0" applyFont="1" applyFill="1" applyBorder="1" applyAlignment="1">
      <alignment vertical="center"/>
    </xf>
    <xf numFmtId="167" fontId="0" fillId="0" borderId="0" xfId="0" applyNumberFormat="1" applyFill="1" applyAlignment="1">
      <alignment vertical="center"/>
    </xf>
    <xf numFmtId="167" fontId="5" fillId="43" borderId="6" xfId="1" applyNumberFormat="1" applyFont="1" applyFill="1" applyBorder="1" applyAlignment="1" applyProtection="1">
      <alignment vertical="center"/>
    </xf>
    <xf numFmtId="167" fontId="18" fillId="43" borderId="7" xfId="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vertical="center"/>
    </xf>
    <xf numFmtId="164" fontId="0" fillId="0" borderId="0" xfId="1" applyNumberFormat="1" applyFont="1" applyFill="1" applyBorder="1" applyAlignment="1" applyProtection="1">
      <alignment vertical="center"/>
    </xf>
    <xf numFmtId="164" fontId="8" fillId="43" borderId="5" xfId="1" applyNumberFormat="1" applyFont="1" applyFill="1" applyBorder="1" applyAlignment="1" applyProtection="1">
      <alignment horizontal="center" vertical="center" wrapText="1"/>
    </xf>
    <xf numFmtId="166" fontId="5" fillId="43" borderId="6" xfId="1" applyNumberFormat="1" applyFont="1" applyFill="1" applyBorder="1" applyAlignment="1" applyProtection="1">
      <alignment vertical="center"/>
    </xf>
    <xf numFmtId="164" fontId="5" fillId="43" borderId="6" xfId="1" applyNumberFormat="1" applyFont="1" applyFill="1" applyBorder="1" applyAlignment="1" applyProtection="1">
      <alignment vertical="center"/>
    </xf>
    <xf numFmtId="167" fontId="10" fillId="43" borderId="6" xfId="1" applyNumberFormat="1" applyFont="1" applyFill="1" applyBorder="1" applyAlignment="1" applyProtection="1">
      <alignment vertical="center"/>
    </xf>
    <xf numFmtId="167" fontId="12" fillId="43" borderId="6" xfId="1" applyNumberFormat="1" applyFont="1" applyFill="1" applyBorder="1" applyAlignment="1" applyProtection="1">
      <alignment vertical="center"/>
    </xf>
    <xf numFmtId="167" fontId="11" fillId="43" borderId="6" xfId="1" applyNumberFormat="1" applyFont="1" applyFill="1" applyBorder="1" applyAlignment="1" applyProtection="1">
      <alignment vertical="center"/>
    </xf>
    <xf numFmtId="164" fontId="9" fillId="43" borderId="6" xfId="1" applyNumberFormat="1" applyFont="1" applyFill="1" applyBorder="1" applyAlignment="1" applyProtection="1">
      <alignment vertical="center"/>
    </xf>
    <xf numFmtId="167" fontId="14" fillId="43" borderId="6" xfId="1" applyNumberFormat="1" applyFont="1" applyFill="1" applyBorder="1" applyAlignment="1" applyProtection="1">
      <alignment vertical="center"/>
    </xf>
    <xf numFmtId="164" fontId="5" fillId="43" borderId="9" xfId="1" applyNumberFormat="1" applyFont="1" applyFill="1" applyBorder="1" applyAlignment="1" applyProtection="1">
      <alignment vertical="center"/>
    </xf>
    <xf numFmtId="167" fontId="5" fillId="43" borderId="10" xfId="1" applyNumberFormat="1" applyFont="1" applyFill="1" applyBorder="1" applyAlignment="1">
      <alignment vertical="center"/>
    </xf>
    <xf numFmtId="167" fontId="14" fillId="43" borderId="11" xfId="1" applyNumberFormat="1" applyFont="1" applyFill="1" applyBorder="1" applyAlignment="1">
      <alignment vertical="center"/>
    </xf>
    <xf numFmtId="167" fontId="14" fillId="43" borderId="6" xfId="1" applyNumberFormat="1" applyFont="1" applyFill="1" applyBorder="1" applyAlignment="1">
      <alignment vertical="center"/>
    </xf>
    <xf numFmtId="164" fontId="14" fillId="43" borderId="5" xfId="1" applyNumberFormat="1" applyFont="1" applyFill="1" applyBorder="1" applyAlignment="1" applyProtection="1">
      <alignment vertical="center"/>
    </xf>
    <xf numFmtId="167" fontId="10" fillId="43" borderId="13" xfId="0" applyNumberFormat="1" applyFont="1" applyFill="1" applyBorder="1" applyAlignment="1">
      <alignment vertical="center"/>
    </xf>
    <xf numFmtId="164" fontId="5" fillId="43" borderId="13" xfId="1" applyNumberFormat="1" applyFont="1" applyFill="1" applyBorder="1" applyAlignment="1" applyProtection="1">
      <alignment vertical="center"/>
    </xf>
    <xf numFmtId="167" fontId="19" fillId="43" borderId="7" xfId="4" applyNumberFormat="1" applyFont="1" applyFill="1" applyBorder="1" applyAlignment="1">
      <alignment vertical="center"/>
    </xf>
    <xf numFmtId="167" fontId="19" fillId="43" borderId="16" xfId="4" applyNumberFormat="1" applyFont="1" applyFill="1" applyBorder="1" applyAlignment="1">
      <alignment vertical="center"/>
    </xf>
    <xf numFmtId="165" fontId="5" fillId="43" borderId="10" xfId="2" applyNumberFormat="1" applyFont="1" applyFill="1" applyBorder="1" applyAlignment="1" applyProtection="1">
      <alignment horizontal="right"/>
    </xf>
    <xf numFmtId="167" fontId="18" fillId="43" borderId="9" xfId="4" applyNumberFormat="1" applyFont="1" applyFill="1" applyBorder="1" applyAlignment="1">
      <alignment vertical="center"/>
    </xf>
    <xf numFmtId="164" fontId="5" fillId="44" borderId="7" xfId="1" applyNumberFormat="1" applyFont="1" applyFill="1" applyBorder="1" applyAlignment="1" applyProtection="1">
      <alignment vertical="center"/>
    </xf>
    <xf numFmtId="164" fontId="5" fillId="44" borderId="6" xfId="1" applyNumberFormat="1" applyFont="1" applyFill="1" applyBorder="1" applyAlignment="1" applyProtection="1">
      <alignment vertical="center"/>
    </xf>
    <xf numFmtId="165" fontId="10" fillId="0" borderId="17" xfId="2" applyNumberFormat="1" applyFont="1" applyFill="1" applyBorder="1" applyAlignment="1">
      <alignment vertical="center"/>
    </xf>
    <xf numFmtId="164" fontId="31" fillId="15" borderId="5" xfId="1" applyNumberFormat="1" applyFont="1" applyFill="1" applyBorder="1" applyAlignment="1" applyProtection="1">
      <alignment horizontal="center" vertical="center" wrapText="1"/>
    </xf>
    <xf numFmtId="165" fontId="20" fillId="15" borderId="6" xfId="2" applyNumberFormat="1" applyFont="1" applyFill="1" applyBorder="1" applyAlignment="1" applyProtection="1">
      <alignment horizontal="right"/>
    </xf>
    <xf numFmtId="166" fontId="20" fillId="15" borderId="6" xfId="1" applyNumberFormat="1" applyFont="1" applyFill="1" applyBorder="1" applyAlignment="1" applyProtection="1">
      <alignment vertical="center"/>
    </xf>
    <xf numFmtId="164" fontId="20" fillId="15" borderId="6" xfId="1" applyNumberFormat="1" applyFont="1" applyFill="1" applyBorder="1" applyAlignment="1" applyProtection="1">
      <alignment vertical="center"/>
    </xf>
    <xf numFmtId="167" fontId="16" fillId="0" borderId="6" xfId="1" applyNumberFormat="1" applyFont="1" applyFill="1" applyBorder="1" applyAlignment="1" applyProtection="1">
      <alignment vertical="center"/>
    </xf>
    <xf numFmtId="167" fontId="20" fillId="15" borderId="6" xfId="1" applyNumberFormat="1" applyFont="1" applyFill="1" applyBorder="1" applyAlignment="1" applyProtection="1">
      <alignment vertical="center"/>
    </xf>
    <xf numFmtId="167" fontId="16" fillId="15" borderId="6" xfId="1" applyNumberFormat="1" applyFont="1" applyFill="1" applyBorder="1" applyAlignment="1" applyProtection="1">
      <alignment vertical="center"/>
    </xf>
    <xf numFmtId="167" fontId="20" fillId="0" borderId="6" xfId="1" applyNumberFormat="1" applyFont="1" applyFill="1" applyBorder="1" applyAlignment="1" applyProtection="1">
      <alignment vertical="center"/>
    </xf>
    <xf numFmtId="164" fontId="20" fillId="0" borderId="6" xfId="1" applyNumberFormat="1" applyFont="1" applyFill="1" applyBorder="1" applyAlignment="1" applyProtection="1">
      <alignment vertical="center"/>
    </xf>
    <xf numFmtId="164" fontId="20" fillId="0" borderId="9" xfId="1" applyNumberFormat="1" applyFont="1" applyFill="1" applyBorder="1" applyAlignment="1" applyProtection="1">
      <alignment vertical="center"/>
    </xf>
    <xf numFmtId="167" fontId="20" fillId="0" borderId="10" xfId="1" applyNumberFormat="1" applyFont="1" applyFill="1" applyBorder="1" applyAlignment="1">
      <alignment vertical="center"/>
    </xf>
    <xf numFmtId="167" fontId="16" fillId="0" borderId="11" xfId="1" applyNumberFormat="1" applyFont="1" applyFill="1" applyBorder="1" applyAlignment="1">
      <alignment vertical="center"/>
    </xf>
    <xf numFmtId="167" fontId="16" fillId="0" borderId="6" xfId="1" applyNumberFormat="1" applyFont="1" applyFill="1" applyBorder="1" applyAlignment="1">
      <alignment vertical="center"/>
    </xf>
    <xf numFmtId="164" fontId="16" fillId="0" borderId="5" xfId="1" applyNumberFormat="1" applyFont="1" applyFill="1" applyBorder="1" applyAlignment="1" applyProtection="1">
      <alignment vertical="center"/>
    </xf>
    <xf numFmtId="167" fontId="16" fillId="0" borderId="10" xfId="0" applyNumberFormat="1" applyFont="1" applyFill="1" applyBorder="1" applyAlignment="1">
      <alignment vertical="center"/>
    </xf>
    <xf numFmtId="164" fontId="20" fillId="0" borderId="10" xfId="1" applyNumberFormat="1" applyFont="1" applyFill="1" applyBorder="1" applyAlignment="1" applyProtection="1">
      <alignment vertical="center"/>
    </xf>
    <xf numFmtId="167" fontId="16" fillId="18" borderId="11" xfId="0" applyNumberFormat="1" applyFont="1" applyFill="1" applyBorder="1" applyAlignment="1">
      <alignment vertical="center"/>
    </xf>
    <xf numFmtId="167" fontId="16" fillId="0" borderId="6" xfId="4" applyNumberFormat="1" applyFont="1" applyFill="1" applyBorder="1" applyAlignment="1">
      <alignment vertical="center"/>
    </xf>
    <xf numFmtId="165" fontId="16" fillId="0" borderId="17" xfId="2" applyNumberFormat="1" applyFont="1" applyFill="1" applyBorder="1" applyAlignment="1">
      <alignment vertical="center"/>
    </xf>
    <xf numFmtId="0" fontId="0" fillId="44" borderId="8" xfId="0" applyFont="1" applyFill="1" applyBorder="1" applyAlignment="1">
      <alignment horizontal="left" vertical="center" indent="1"/>
    </xf>
    <xf numFmtId="0" fontId="10" fillId="44" borderId="0" xfId="0" applyFont="1" applyFill="1" applyBorder="1" applyAlignment="1">
      <alignment vertical="center"/>
    </xf>
    <xf numFmtId="164" fontId="9" fillId="44" borderId="6" xfId="1" applyNumberFormat="1" applyFont="1" applyFill="1" applyBorder="1" applyAlignment="1" applyProtection="1">
      <alignment vertical="center"/>
    </xf>
    <xf numFmtId="164" fontId="20" fillId="44" borderId="6" xfId="1" applyNumberFormat="1" applyFont="1" applyFill="1" applyBorder="1" applyAlignment="1" applyProtection="1">
      <alignment vertical="center"/>
    </xf>
    <xf numFmtId="164" fontId="5" fillId="0" borderId="7" xfId="1" applyNumberFormat="1" applyFont="1" applyFill="1" applyBorder="1" applyAlignment="1" applyProtection="1">
      <alignment vertical="center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5" fontId="5" fillId="0" borderId="10" xfId="2" applyNumberFormat="1" applyFont="1" applyFill="1" applyBorder="1" applyAlignment="1" applyProtection="1">
      <alignment horizontal="right"/>
    </xf>
    <xf numFmtId="166" fontId="5" fillId="0" borderId="6" xfId="1" applyNumberFormat="1" applyFont="1" applyFill="1" applyBorder="1" applyAlignment="1" applyProtection="1">
      <alignment vertical="center"/>
    </xf>
    <xf numFmtId="167" fontId="12" fillId="0" borderId="6" xfId="1" applyNumberFormat="1" applyFont="1" applyFill="1" applyBorder="1" applyAlignment="1" applyProtection="1">
      <alignment vertical="center"/>
    </xf>
    <xf numFmtId="0" fontId="6" fillId="15" borderId="2" xfId="0" applyFont="1" applyFill="1" applyBorder="1" applyAlignment="1">
      <alignment vertical="center" wrapText="1"/>
    </xf>
    <xf numFmtId="164" fontId="0" fillId="0" borderId="0" xfId="0" applyNumberFormat="1"/>
    <xf numFmtId="167" fontId="0" fillId="0" borderId="0" xfId="1" applyNumberFormat="1" applyFont="1"/>
    <xf numFmtId="0" fontId="14" fillId="0" borderId="12" xfId="0" applyFont="1" applyFill="1" applyBorder="1" applyAlignment="1">
      <alignment horizontal="left" vertical="center" indent="1"/>
    </xf>
    <xf numFmtId="0" fontId="14" fillId="0" borderId="12" xfId="0" applyFont="1" applyBorder="1"/>
    <xf numFmtId="164" fontId="16" fillId="0" borderId="12" xfId="1" applyNumberFormat="1" applyFont="1" applyFill="1" applyBorder="1" applyAlignment="1" applyProtection="1">
      <alignment vertical="center"/>
    </xf>
    <xf numFmtId="164" fontId="14" fillId="0" borderId="12" xfId="1" applyNumberFormat="1" applyFont="1" applyFill="1" applyBorder="1" applyAlignment="1" applyProtection="1">
      <alignment vertical="center"/>
    </xf>
    <xf numFmtId="164" fontId="0" fillId="0" borderId="12" xfId="0" applyNumberFormat="1" applyBorder="1"/>
    <xf numFmtId="0" fontId="0" fillId="0" borderId="0" xfId="0" applyFont="1" applyFill="1" applyBorder="1" applyAlignment="1">
      <alignment horizontal="left" vertical="center" indent="2"/>
    </xf>
    <xf numFmtId="164" fontId="0" fillId="0" borderId="0" xfId="2" applyNumberFormat="1" applyFont="1" applyFill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0" fontId="10" fillId="45" borderId="3" xfId="0" applyFont="1" applyFill="1" applyBorder="1" applyAlignment="1">
      <alignment vertical="center"/>
    </xf>
    <xf numFmtId="167" fontId="10" fillId="45" borderId="3" xfId="0" applyNumberFormat="1" applyFont="1" applyFill="1" applyBorder="1" applyAlignment="1">
      <alignment vertical="center"/>
    </xf>
    <xf numFmtId="167" fontId="10" fillId="45" borderId="5" xfId="1" applyNumberFormat="1" applyFont="1" applyFill="1" applyBorder="1" applyAlignment="1">
      <alignment vertical="center"/>
    </xf>
    <xf numFmtId="167" fontId="16" fillId="45" borderId="11" xfId="4" applyNumberFormat="1" applyFont="1" applyFill="1" applyBorder="1" applyAlignment="1">
      <alignment vertical="center"/>
    </xf>
    <xf numFmtId="0" fontId="5" fillId="44" borderId="0" xfId="0" applyFont="1" applyFill="1" applyBorder="1" applyAlignment="1">
      <alignment horizontal="left" vertical="center" indent="1"/>
    </xf>
    <xf numFmtId="0" fontId="18" fillId="44" borderId="0" xfId="3" applyFont="1" applyFill="1" applyBorder="1" applyAlignment="1">
      <alignment vertical="center"/>
    </xf>
    <xf numFmtId="167" fontId="18" fillId="44" borderId="6" xfId="4" applyNumberFormat="1" applyFont="1" applyFill="1" applyBorder="1" applyAlignment="1">
      <alignment vertical="center"/>
    </xf>
    <xf numFmtId="167" fontId="20" fillId="44" borderId="6" xfId="4" applyNumberFormat="1" applyFont="1" applyFill="1" applyBorder="1" applyAlignment="1">
      <alignment vertical="center"/>
    </xf>
    <xf numFmtId="167" fontId="18" fillId="44" borderId="7" xfId="4" applyNumberFormat="1" applyFont="1" applyFill="1" applyBorder="1" applyAlignment="1">
      <alignment vertical="center"/>
    </xf>
    <xf numFmtId="0" fontId="18" fillId="44" borderId="8" xfId="3" applyFont="1" applyFill="1" applyBorder="1" applyAlignment="1">
      <alignment horizontal="left" vertical="center" indent="1"/>
    </xf>
    <xf numFmtId="0" fontId="32" fillId="15" borderId="8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166" fontId="32" fillId="15" borderId="6" xfId="1" applyNumberFormat="1" applyFont="1" applyFill="1" applyBorder="1" applyAlignment="1" applyProtection="1">
      <alignment vertical="center"/>
    </xf>
    <xf numFmtId="167" fontId="32" fillId="15" borderId="6" xfId="1" applyNumberFormat="1" applyFont="1" applyFill="1" applyBorder="1" applyAlignment="1" applyProtection="1">
      <alignment vertical="center"/>
    </xf>
    <xf numFmtId="167" fontId="32" fillId="43" borderId="6" xfId="1" applyNumberFormat="1" applyFont="1" applyFill="1" applyBorder="1" applyAlignment="1" applyProtection="1">
      <alignment vertical="center"/>
    </xf>
    <xf numFmtId="167" fontId="20" fillId="0" borderId="7" xfId="4" applyNumberFormat="1" applyFont="1" applyFill="1" applyBorder="1" applyAlignment="1">
      <alignment vertical="center"/>
    </xf>
    <xf numFmtId="165" fontId="16" fillId="0" borderId="18" xfId="2" applyNumberFormat="1" applyFont="1" applyFill="1" applyBorder="1" applyAlignment="1">
      <alignment vertical="center"/>
    </xf>
    <xf numFmtId="165" fontId="10" fillId="0" borderId="18" xfId="2" applyNumberFormat="1" applyFont="1" applyFill="1" applyBorder="1" applyAlignment="1">
      <alignment vertical="center"/>
    </xf>
    <xf numFmtId="167" fontId="20" fillId="0" borderId="9" xfId="4" applyNumberFormat="1" applyFont="1" applyFill="1" applyBorder="1" applyAlignment="1">
      <alignment vertical="center"/>
    </xf>
    <xf numFmtId="167" fontId="10" fillId="0" borderId="9" xfId="1" applyNumberFormat="1" applyFont="1" applyFill="1" applyBorder="1" applyAlignment="1">
      <alignment vertical="center"/>
    </xf>
    <xf numFmtId="0" fontId="33" fillId="16" borderId="0" xfId="0" applyFont="1" applyFill="1" applyAlignment="1">
      <alignment vertical="center"/>
    </xf>
    <xf numFmtId="167" fontId="34" fillId="16" borderId="0" xfId="0" applyNumberFormat="1" applyFont="1" applyFill="1" applyAlignment="1">
      <alignment vertical="center"/>
    </xf>
    <xf numFmtId="0" fontId="34" fillId="16" borderId="0" xfId="0" applyFont="1" applyFill="1" applyAlignment="1">
      <alignment vertical="center"/>
    </xf>
    <xf numFmtId="167" fontId="8" fillId="16" borderId="0" xfId="0" applyNumberFormat="1" applyFont="1" applyFill="1" applyAlignment="1">
      <alignment vertical="center"/>
    </xf>
    <xf numFmtId="164" fontId="12" fillId="16" borderId="0" xfId="2" applyNumberFormat="1" applyFont="1" applyFill="1" applyAlignment="1">
      <alignment vertical="center"/>
    </xf>
    <xf numFmtId="164" fontId="12" fillId="16" borderId="2" xfId="2" applyNumberFormat="1" applyFont="1" applyFill="1" applyBorder="1" applyAlignment="1">
      <alignment vertical="center"/>
    </xf>
    <xf numFmtId="0" fontId="12" fillId="16" borderId="0" xfId="0" applyFont="1" applyFill="1" applyAlignment="1">
      <alignment vertical="center"/>
    </xf>
    <xf numFmtId="0" fontId="34" fillId="16" borderId="12" xfId="0" applyFont="1" applyFill="1" applyBorder="1" applyAlignment="1">
      <alignment vertical="center"/>
    </xf>
    <xf numFmtId="165" fontId="10" fillId="43" borderId="18" xfId="2" applyNumberFormat="1" applyFont="1" applyFill="1" applyBorder="1" applyAlignment="1">
      <alignment vertical="center"/>
    </xf>
    <xf numFmtId="167" fontId="10" fillId="43" borderId="9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7" fontId="18" fillId="43" borderId="6" xfId="4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0" fillId="46" borderId="8" xfId="0" applyFont="1" applyFill="1" applyBorder="1" applyAlignment="1">
      <alignment horizontal="left" vertical="center" indent="1"/>
    </xf>
    <xf numFmtId="0" fontId="0" fillId="47" borderId="8" xfId="0" applyFont="1" applyFill="1" applyBorder="1" applyAlignment="1">
      <alignment horizontal="left" vertical="center" indent="1"/>
    </xf>
    <xf numFmtId="0" fontId="10" fillId="47" borderId="0" xfId="0" applyFont="1" applyFill="1" applyBorder="1" applyAlignment="1">
      <alignment vertical="center"/>
    </xf>
    <xf numFmtId="164" fontId="9" fillId="47" borderId="6" xfId="1" applyNumberFormat="1" applyFont="1" applyFill="1" applyBorder="1" applyAlignment="1" applyProtection="1">
      <alignment vertical="center"/>
    </xf>
    <xf numFmtId="164" fontId="20" fillId="47" borderId="6" xfId="1" applyNumberFormat="1" applyFont="1" applyFill="1" applyBorder="1" applyAlignment="1" applyProtection="1">
      <alignment vertical="center"/>
    </xf>
    <xf numFmtId="164" fontId="5" fillId="47" borderId="6" xfId="1" applyNumberFormat="1" applyFont="1" applyFill="1" applyBorder="1" applyAlignment="1" applyProtection="1">
      <alignment vertical="center"/>
    </xf>
    <xf numFmtId="164" fontId="5" fillId="47" borderId="7" xfId="1" applyNumberFormat="1" applyFont="1" applyFill="1" applyBorder="1" applyAlignment="1" applyProtection="1">
      <alignment vertical="center"/>
    </xf>
    <xf numFmtId="0" fontId="18" fillId="46" borderId="8" xfId="3" applyFont="1" applyFill="1" applyBorder="1" applyAlignment="1">
      <alignment horizontal="left" vertical="center" indent="1"/>
    </xf>
    <xf numFmtId="0" fontId="18" fillId="46" borderId="0" xfId="3" applyFont="1" applyFill="1" applyBorder="1" applyAlignment="1">
      <alignment vertical="center"/>
    </xf>
    <xf numFmtId="167" fontId="18" fillId="46" borderId="6" xfId="4" applyNumberFormat="1" applyFont="1" applyFill="1" applyBorder="1" applyAlignment="1">
      <alignment vertical="center"/>
    </xf>
    <xf numFmtId="167" fontId="20" fillId="46" borderId="6" xfId="4" applyNumberFormat="1" applyFont="1" applyFill="1" applyBorder="1" applyAlignment="1">
      <alignment vertical="center"/>
    </xf>
    <xf numFmtId="167" fontId="18" fillId="46" borderId="7" xfId="4" applyNumberFormat="1" applyFont="1" applyFill="1" applyBorder="1" applyAlignment="1">
      <alignment vertical="center"/>
    </xf>
    <xf numFmtId="167" fontId="0" fillId="0" borderId="6" xfId="1" applyNumberFormat="1" applyFont="1" applyFill="1" applyBorder="1" applyAlignment="1" applyProtection="1">
      <alignment vertical="center"/>
    </xf>
    <xf numFmtId="43" fontId="10" fillId="18" borderId="16" xfId="0" applyNumberFormat="1" applyFont="1" applyFill="1" applyBorder="1" applyAlignment="1">
      <alignment vertical="center"/>
    </xf>
    <xf numFmtId="164" fontId="20" fillId="44" borderId="8" xfId="1" applyNumberFormat="1" applyFont="1" applyFill="1" applyBorder="1" applyAlignment="1" applyProtection="1">
      <alignment vertical="center"/>
    </xf>
    <xf numFmtId="167" fontId="5" fillId="48" borderId="6" xfId="1" applyNumberFormat="1" applyFont="1" applyFill="1" applyBorder="1" applyAlignment="1" applyProtection="1">
      <alignment vertical="center"/>
    </xf>
    <xf numFmtId="0" fontId="0" fillId="0" borderId="8" xfId="0" applyFont="1" applyBorder="1" applyAlignment="1">
      <alignment horizontal="left"/>
    </xf>
    <xf numFmtId="0" fontId="0" fillId="16" borderId="0" xfId="0" applyFont="1" applyFill="1" applyBorder="1" applyAlignment="1">
      <alignment horizontal="left" vertical="center"/>
    </xf>
    <xf numFmtId="0" fontId="13" fillId="16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15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/>
    <xf numFmtId="164" fontId="14" fillId="43" borderId="6" xfId="1" applyNumberFormat="1" applyFont="1" applyFill="1" applyBorder="1" applyAlignment="1" applyProtection="1">
      <alignment vertical="center"/>
    </xf>
    <xf numFmtId="164" fontId="14" fillId="0" borderId="6" xfId="1" applyNumberFormat="1" applyFont="1" applyFill="1" applyBorder="1" applyAlignment="1" applyProtection="1">
      <alignment vertical="center"/>
    </xf>
    <xf numFmtId="164" fontId="14" fillId="0" borderId="0" xfId="0" applyNumberFormat="1" applyFont="1" applyFill="1" applyAlignment="1">
      <alignment vertical="center"/>
    </xf>
    <xf numFmtId="0" fontId="14" fillId="19" borderId="0" xfId="0" applyFont="1" applyFill="1" applyBorder="1" applyAlignment="1">
      <alignment vertical="center"/>
    </xf>
    <xf numFmtId="167" fontId="14" fillId="19" borderId="5" xfId="1" applyNumberFormat="1" applyFont="1" applyFill="1" applyBorder="1" applyAlignment="1">
      <alignment vertical="center"/>
    </xf>
    <xf numFmtId="0" fontId="14" fillId="68" borderId="0" xfId="0" applyFont="1" applyFill="1" applyBorder="1" applyAlignment="1">
      <alignment horizontal="left" vertical="center" indent="1"/>
    </xf>
    <xf numFmtId="164" fontId="14" fillId="68" borderId="6" xfId="1" applyNumberFormat="1" applyFont="1" applyFill="1" applyBorder="1" applyAlignment="1" applyProtection="1">
      <alignment vertical="center"/>
    </xf>
    <xf numFmtId="0" fontId="14" fillId="67" borderId="0" xfId="0" applyFont="1" applyFill="1" applyBorder="1" applyAlignment="1">
      <alignment horizontal="left" vertical="center" indent="1"/>
    </xf>
    <xf numFmtId="164" fontId="14" fillId="67" borderId="9" xfId="1" applyNumberFormat="1" applyFont="1" applyFill="1" applyBorder="1" applyAlignment="1" applyProtection="1">
      <alignment vertical="center"/>
    </xf>
    <xf numFmtId="167" fontId="14" fillId="67" borderId="6" xfId="1" applyNumberFormat="1" applyFont="1" applyFill="1" applyBorder="1" applyAlignment="1" applyProtection="1">
      <alignment vertical="center"/>
    </xf>
    <xf numFmtId="167" fontId="5" fillId="0" borderId="9" xfId="4" applyNumberFormat="1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0" fontId="19" fillId="69" borderId="3" xfId="3" applyFont="1" applyFill="1" applyBorder="1" applyAlignment="1">
      <alignment vertical="center"/>
    </xf>
    <xf numFmtId="167" fontId="14" fillId="69" borderId="11" xfId="4" applyNumberFormat="1" applyFont="1" applyFill="1" applyBorder="1" applyAlignment="1">
      <alignment vertical="center"/>
    </xf>
    <xf numFmtId="0" fontId="10" fillId="69" borderId="0" xfId="0" applyFont="1" applyFill="1" applyBorder="1" applyAlignment="1">
      <alignment vertical="center"/>
    </xf>
    <xf numFmtId="167" fontId="14" fillId="69" borderId="6" xfId="1" applyNumberFormat="1" applyFont="1" applyFill="1" applyBorder="1" applyAlignment="1" applyProtection="1">
      <alignment vertical="center"/>
    </xf>
    <xf numFmtId="0" fontId="10" fillId="45" borderId="15" xfId="0" applyFont="1" applyFill="1" applyBorder="1" applyAlignment="1">
      <alignment vertical="center"/>
    </xf>
    <xf numFmtId="167" fontId="14" fillId="45" borderId="11" xfId="0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vertical="center"/>
    </xf>
    <xf numFmtId="0" fontId="18" fillId="0" borderId="31" xfId="3" applyFont="1" applyFill="1" applyBorder="1" applyAlignment="1">
      <alignment vertical="center"/>
    </xf>
    <xf numFmtId="167" fontId="5" fillId="0" borderId="31" xfId="4" applyNumberFormat="1" applyFont="1" applyFill="1" applyBorder="1" applyAlignment="1">
      <alignment vertical="center"/>
    </xf>
    <xf numFmtId="167" fontId="5" fillId="0" borderId="7" xfId="4" applyNumberFormat="1" applyFont="1" applyFill="1" applyBorder="1" applyAlignment="1">
      <alignment vertical="center"/>
    </xf>
    <xf numFmtId="0" fontId="18" fillId="0" borderId="32" xfId="3" applyFont="1" applyFill="1" applyBorder="1" applyAlignment="1">
      <alignment horizontal="left" vertical="center" indent="1"/>
    </xf>
    <xf numFmtId="167" fontId="5" fillId="0" borderId="33" xfId="4" applyNumberFormat="1" applyFont="1" applyFill="1" applyBorder="1" applyAlignment="1">
      <alignment vertical="center"/>
    </xf>
    <xf numFmtId="0" fontId="19" fillId="70" borderId="32" xfId="3" applyFont="1" applyFill="1" applyBorder="1" applyAlignment="1">
      <alignment vertical="center"/>
    </xf>
    <xf numFmtId="0" fontId="19" fillId="70" borderId="31" xfId="3" applyFont="1" applyFill="1" applyBorder="1" applyAlignment="1">
      <alignment vertical="center"/>
    </xf>
    <xf numFmtId="167" fontId="14" fillId="70" borderId="31" xfId="4" applyNumberFormat="1" applyFont="1" applyFill="1" applyBorder="1" applyAlignment="1">
      <alignment vertical="center"/>
    </xf>
    <xf numFmtId="167" fontId="14" fillId="70" borderId="33" xfId="4" applyNumberFormat="1" applyFont="1" applyFill="1" applyBorder="1" applyAlignment="1">
      <alignment vertical="center"/>
    </xf>
    <xf numFmtId="0" fontId="0" fillId="15" borderId="0" xfId="0" applyFont="1" applyFill="1" applyBorder="1" applyAlignment="1">
      <alignment vertical="center" wrapText="1"/>
    </xf>
    <xf numFmtId="164" fontId="8" fillId="43" borderId="6" xfId="1" applyNumberFormat="1" applyFont="1" applyFill="1" applyBorder="1" applyAlignment="1" applyProtection="1">
      <alignment horizontal="center" vertical="center" wrapText="1"/>
    </xf>
    <xf numFmtId="164" fontId="8" fillId="15" borderId="6" xfId="1" applyNumberFormat="1" applyFont="1" applyFill="1" applyBorder="1" applyAlignment="1" applyProtection="1">
      <alignment horizontal="center" vertical="center" wrapText="1"/>
    </xf>
    <xf numFmtId="0" fontId="59" fillId="0" borderId="34" xfId="0" applyFont="1" applyBorder="1" applyAlignment="1">
      <alignment vertical="center" wrapText="1"/>
    </xf>
    <xf numFmtId="0" fontId="59" fillId="0" borderId="35" xfId="0" applyFont="1" applyBorder="1" applyAlignment="1">
      <alignment vertical="center" wrapText="1"/>
    </xf>
    <xf numFmtId="0" fontId="60" fillId="71" borderId="36" xfId="0" applyFont="1" applyFill="1" applyBorder="1" applyAlignment="1">
      <alignment vertical="center" wrapText="1"/>
    </xf>
    <xf numFmtId="3" fontId="58" fillId="71" borderId="37" xfId="0" applyNumberFormat="1" applyFont="1" applyFill="1" applyBorder="1" applyAlignment="1">
      <alignment horizontal="right" vertical="center" wrapText="1"/>
    </xf>
    <xf numFmtId="0" fontId="60" fillId="0" borderId="36" xfId="0" applyFont="1" applyBorder="1" applyAlignment="1">
      <alignment vertical="center" wrapText="1"/>
    </xf>
    <xf numFmtId="0" fontId="58" fillId="0" borderId="37" xfId="0" applyFont="1" applyBorder="1" applyAlignment="1">
      <alignment horizontal="right" vertical="center" wrapText="1"/>
    </xf>
    <xf numFmtId="0" fontId="58" fillId="71" borderId="37" xfId="0" applyFont="1" applyFill="1" applyBorder="1" applyAlignment="1">
      <alignment horizontal="right" vertical="center" wrapText="1"/>
    </xf>
    <xf numFmtId="0" fontId="61" fillId="71" borderId="36" xfId="0" applyFont="1" applyFill="1" applyBorder="1" applyAlignment="1">
      <alignment vertical="center" wrapText="1"/>
    </xf>
    <xf numFmtId="3" fontId="57" fillId="71" borderId="37" xfId="0" applyNumberFormat="1" applyFont="1" applyFill="1" applyBorder="1" applyAlignment="1">
      <alignment horizontal="right" vertical="center" wrapText="1"/>
    </xf>
    <xf numFmtId="3" fontId="58" fillId="0" borderId="37" xfId="0" applyNumberFormat="1" applyFont="1" applyBorder="1" applyAlignment="1">
      <alignment horizontal="right" vertical="center" wrapText="1"/>
    </xf>
    <xf numFmtId="164" fontId="13" fillId="43" borderId="6" xfId="1" applyNumberFormat="1" applyFont="1" applyFill="1" applyBorder="1" applyAlignment="1" applyProtection="1">
      <alignment horizontal="center" vertical="center" wrapText="1"/>
    </xf>
    <xf numFmtId="164" fontId="13" fillId="0" borderId="6" xfId="1" applyNumberFormat="1" applyFont="1" applyFill="1" applyBorder="1" applyAlignment="1" applyProtection="1">
      <alignment horizontal="center" vertical="center" wrapText="1"/>
    </xf>
    <xf numFmtId="0" fontId="14" fillId="72" borderId="0" xfId="0" applyFont="1" applyFill="1" applyBorder="1" applyAlignment="1">
      <alignment horizontal="left" vertical="center" indent="1"/>
    </xf>
    <xf numFmtId="164" fontId="14" fillId="72" borderId="6" xfId="1" applyNumberFormat="1" applyFont="1" applyFill="1" applyBorder="1" applyAlignment="1" applyProtection="1">
      <alignment vertical="center"/>
    </xf>
    <xf numFmtId="0" fontId="14" fillId="70" borderId="0" xfId="0" applyFont="1" applyFill="1" applyBorder="1" applyAlignment="1">
      <alignment horizontal="left" vertical="center" indent="1"/>
    </xf>
    <xf numFmtId="164" fontId="14" fillId="70" borderId="6" xfId="1" applyNumberFormat="1" applyFont="1" applyFill="1" applyBorder="1" applyAlignment="1" applyProtection="1">
      <alignment vertical="center"/>
    </xf>
    <xf numFmtId="0" fontId="14" fillId="73" borderId="0" xfId="0" applyFont="1" applyFill="1" applyBorder="1" applyAlignment="1">
      <alignment vertical="center"/>
    </xf>
    <xf numFmtId="167" fontId="14" fillId="73" borderId="5" xfId="1" applyNumberFormat="1" applyFont="1" applyFill="1" applyBorder="1" applyAlignment="1">
      <alignment vertical="center"/>
    </xf>
    <xf numFmtId="167" fontId="17" fillId="43" borderId="9" xfId="1" applyNumberFormat="1" applyFont="1" applyFill="1" applyBorder="1" applyAlignment="1">
      <alignment vertical="center"/>
    </xf>
    <xf numFmtId="167" fontId="14" fillId="0" borderId="0" xfId="0" applyNumberFormat="1" applyFont="1" applyFill="1" applyAlignment="1">
      <alignment vertical="center"/>
    </xf>
    <xf numFmtId="164" fontId="62" fillId="15" borderId="5" xfId="1" applyNumberFormat="1" applyFont="1" applyFill="1" applyBorder="1" applyAlignment="1" applyProtection="1">
      <alignment horizontal="center" vertical="center" wrapText="1"/>
    </xf>
    <xf numFmtId="164" fontId="62" fillId="15" borderId="6" xfId="1" applyNumberFormat="1" applyFont="1" applyFill="1" applyBorder="1" applyAlignment="1" applyProtection="1">
      <alignment horizontal="center" vertical="center" wrapText="1"/>
    </xf>
    <xf numFmtId="167" fontId="63" fillId="15" borderId="6" xfId="1" applyNumberFormat="1" applyFont="1" applyFill="1" applyBorder="1" applyAlignment="1" applyProtection="1">
      <alignment vertical="center"/>
    </xf>
    <xf numFmtId="167" fontId="63" fillId="69" borderId="6" xfId="1" applyNumberFormat="1" applyFont="1" applyFill="1" applyBorder="1" applyAlignment="1" applyProtection="1">
      <alignment vertical="center"/>
    </xf>
    <xf numFmtId="164" fontId="64" fillId="15" borderId="6" xfId="1" applyNumberFormat="1" applyFont="1" applyFill="1" applyBorder="1" applyAlignment="1" applyProtection="1">
      <alignment vertical="center"/>
    </xf>
    <xf numFmtId="167" fontId="64" fillId="15" borderId="6" xfId="1" applyNumberFormat="1" applyFont="1" applyFill="1" applyBorder="1" applyAlignment="1" applyProtection="1">
      <alignment vertical="center"/>
    </xf>
    <xf numFmtId="167" fontId="64" fillId="0" borderId="6" xfId="1" applyNumberFormat="1" applyFont="1" applyFill="1" applyBorder="1" applyAlignment="1" applyProtection="1">
      <alignment vertical="center"/>
    </xf>
    <xf numFmtId="167" fontId="63" fillId="67" borderId="6" xfId="1" applyNumberFormat="1" applyFont="1" applyFill="1" applyBorder="1" applyAlignment="1" applyProtection="1">
      <alignment vertical="center"/>
    </xf>
    <xf numFmtId="167" fontId="63" fillId="0" borderId="6" xfId="1" applyNumberFormat="1" applyFont="1" applyFill="1" applyBorder="1" applyAlignment="1" applyProtection="1">
      <alignment vertical="center"/>
    </xf>
    <xf numFmtId="164" fontId="64" fillId="0" borderId="6" xfId="1" applyNumberFormat="1" applyFont="1" applyFill="1" applyBorder="1" applyAlignment="1" applyProtection="1">
      <alignment vertical="center"/>
    </xf>
    <xf numFmtId="164" fontId="63" fillId="67" borderId="9" xfId="1" applyNumberFormat="1" applyFont="1" applyFill="1" applyBorder="1" applyAlignment="1" applyProtection="1">
      <alignment vertical="center"/>
    </xf>
    <xf numFmtId="167" fontId="63" fillId="17" borderId="5" xfId="1" applyNumberFormat="1" applyFont="1" applyFill="1" applyBorder="1" applyAlignment="1">
      <alignment vertical="center"/>
    </xf>
    <xf numFmtId="164" fontId="63" fillId="68" borderId="6" xfId="1" applyNumberFormat="1" applyFont="1" applyFill="1" applyBorder="1" applyAlignment="1" applyProtection="1">
      <alignment vertical="center"/>
    </xf>
    <xf numFmtId="167" fontId="63" fillId="19" borderId="5" xfId="1" applyNumberFormat="1" applyFont="1" applyFill="1" applyBorder="1" applyAlignment="1">
      <alignment vertical="center"/>
    </xf>
    <xf numFmtId="164" fontId="63" fillId="72" borderId="6" xfId="1" applyNumberFormat="1" applyFont="1" applyFill="1" applyBorder="1" applyAlignment="1" applyProtection="1">
      <alignment vertical="center"/>
    </xf>
    <xf numFmtId="164" fontId="63" fillId="0" borderId="6" xfId="1" applyNumberFormat="1" applyFont="1" applyFill="1" applyBorder="1" applyAlignment="1" applyProtection="1">
      <alignment vertical="center"/>
    </xf>
    <xf numFmtId="164" fontId="63" fillId="70" borderId="6" xfId="1" applyNumberFormat="1" applyFont="1" applyFill="1" applyBorder="1" applyAlignment="1" applyProtection="1">
      <alignment vertical="center"/>
    </xf>
    <xf numFmtId="167" fontId="63" fillId="73" borderId="5" xfId="1" applyNumberFormat="1" applyFont="1" applyFill="1" applyBorder="1" applyAlignment="1">
      <alignment vertical="center"/>
    </xf>
    <xf numFmtId="164" fontId="64" fillId="0" borderId="10" xfId="1" applyNumberFormat="1" applyFont="1" applyFill="1" applyBorder="1" applyAlignment="1" applyProtection="1">
      <alignment vertical="center"/>
    </xf>
    <xf numFmtId="167" fontId="63" fillId="45" borderId="11" xfId="0" applyNumberFormat="1" applyFont="1" applyFill="1" applyBorder="1" applyAlignment="1">
      <alignment vertical="center"/>
    </xf>
    <xf numFmtId="167" fontId="64" fillId="0" borderId="6" xfId="4" applyNumberFormat="1" applyFont="1" applyFill="1" applyBorder="1" applyAlignment="1">
      <alignment vertical="center"/>
    </xf>
    <xf numFmtId="167" fontId="63" fillId="69" borderId="11" xfId="4" applyNumberFormat="1" applyFont="1" applyFill="1" applyBorder="1" applyAlignment="1">
      <alignment vertical="center"/>
    </xf>
    <xf numFmtId="165" fontId="63" fillId="0" borderId="18" xfId="2" applyNumberFormat="1" applyFont="1" applyFill="1" applyBorder="1" applyAlignment="1">
      <alignment vertical="center"/>
    </xf>
    <xf numFmtId="167" fontId="64" fillId="0" borderId="9" xfId="4" applyNumberFormat="1" applyFont="1" applyFill="1" applyBorder="1" applyAlignment="1">
      <alignment vertical="center"/>
    </xf>
    <xf numFmtId="0" fontId="18" fillId="0" borderId="0" xfId="3" applyFont="1" applyFill="1" applyBorder="1" applyAlignment="1">
      <alignment horizontal="left" vertical="center" indent="1"/>
    </xf>
    <xf numFmtId="0" fontId="19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74" borderId="6" xfId="0" applyFill="1" applyBorder="1" applyAlignment="1">
      <alignment vertical="center"/>
    </xf>
    <xf numFmtId="0" fontId="0" fillId="75" borderId="6" xfId="0" applyFill="1" applyBorder="1" applyAlignment="1">
      <alignment vertical="center"/>
    </xf>
    <xf numFmtId="0" fontId="0" fillId="19" borderId="6" xfId="0" applyFill="1" applyBorder="1" applyAlignment="1">
      <alignment vertical="center"/>
    </xf>
    <xf numFmtId="0" fontId="0" fillId="76" borderId="6" xfId="0" applyFill="1" applyBorder="1" applyAlignment="1">
      <alignment vertical="center"/>
    </xf>
    <xf numFmtId="0" fontId="0" fillId="73" borderId="6" xfId="0" applyFill="1" applyBorder="1" applyAlignment="1">
      <alignment vertical="center"/>
    </xf>
    <xf numFmtId="0" fontId="14" fillId="16" borderId="5" xfId="0" applyFont="1" applyFill="1" applyBorder="1" applyAlignment="1">
      <alignment horizontal="center" vertical="center"/>
    </xf>
    <xf numFmtId="0" fontId="10" fillId="77" borderId="3" xfId="0" applyFont="1" applyFill="1" applyBorder="1" applyAlignment="1">
      <alignment vertical="center"/>
    </xf>
    <xf numFmtId="167" fontId="63" fillId="77" borderId="5" xfId="1" applyNumberFormat="1" applyFont="1" applyFill="1" applyBorder="1" applyAlignment="1">
      <alignment vertical="center"/>
    </xf>
    <xf numFmtId="167" fontId="10" fillId="77" borderId="5" xfId="1" applyNumberFormat="1" applyFont="1" applyFill="1" applyBorder="1" applyAlignment="1">
      <alignment vertical="center"/>
    </xf>
    <xf numFmtId="167" fontId="14" fillId="77" borderId="5" xfId="1" applyNumberFormat="1" applyFont="1" applyFill="1" applyBorder="1" applyAlignment="1">
      <alignment vertical="center"/>
    </xf>
    <xf numFmtId="0" fontId="0" fillId="45" borderId="6" xfId="0" applyFill="1" applyBorder="1" applyAlignment="1">
      <alignment vertical="center"/>
    </xf>
    <xf numFmtId="0" fontId="0" fillId="77" borderId="9" xfId="0" applyFill="1" applyBorder="1" applyAlignment="1">
      <alignment vertical="center"/>
    </xf>
    <xf numFmtId="0" fontId="0" fillId="76" borderId="0" xfId="0" applyFont="1" applyFill="1" applyBorder="1" applyAlignment="1">
      <alignment horizontal="left" vertical="center" indent="1"/>
    </xf>
    <xf numFmtId="164" fontId="64" fillId="76" borderId="6" xfId="1" applyNumberFormat="1" applyFont="1" applyFill="1" applyBorder="1" applyAlignment="1" applyProtection="1">
      <alignment vertical="center"/>
    </xf>
    <xf numFmtId="164" fontId="5" fillId="76" borderId="6" xfId="1" applyNumberFormat="1" applyFont="1" applyFill="1" applyBorder="1" applyAlignment="1" applyProtection="1">
      <alignment vertical="center"/>
    </xf>
    <xf numFmtId="164" fontId="5" fillId="76" borderId="7" xfId="1" applyNumberFormat="1" applyFont="1" applyFill="1" applyBorder="1" applyAlignment="1" applyProtection="1">
      <alignment vertical="center"/>
    </xf>
    <xf numFmtId="164" fontId="64" fillId="18" borderId="6" xfId="1" applyNumberFormat="1" applyFont="1" applyFill="1" applyBorder="1" applyAlignment="1" applyProtection="1">
      <alignment vertical="center"/>
    </xf>
    <xf numFmtId="167" fontId="0" fillId="0" borderId="12" xfId="1" applyNumberFormat="1" applyFont="1" applyBorder="1"/>
    <xf numFmtId="167" fontId="0" fillId="0" borderId="0" xfId="0" applyNumberFormat="1"/>
    <xf numFmtId="167" fontId="0" fillId="0" borderId="12" xfId="0" applyNumberFormat="1" applyBorder="1"/>
    <xf numFmtId="165" fontId="0" fillId="0" borderId="0" xfId="2" applyNumberFormat="1" applyFont="1"/>
    <xf numFmtId="164" fontId="14" fillId="43" borderId="9" xfId="1" applyNumberFormat="1" applyFont="1" applyFill="1" applyBorder="1" applyAlignment="1" applyProtection="1">
      <alignment vertical="center"/>
    </xf>
    <xf numFmtId="167" fontId="5" fillId="77" borderId="9" xfId="4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164" fontId="63" fillId="0" borderId="9" xfId="1" applyNumberFormat="1" applyFont="1" applyFill="1" applyBorder="1" applyAlignment="1" applyProtection="1">
      <alignment vertical="center"/>
    </xf>
    <xf numFmtId="0" fontId="0" fillId="18" borderId="0" xfId="0" applyFont="1" applyFill="1" applyBorder="1" applyAlignment="1">
      <alignment horizontal="left" vertical="center" indent="1"/>
    </xf>
    <xf numFmtId="164" fontId="5" fillId="18" borderId="6" xfId="1" applyNumberFormat="1" applyFont="1" applyFill="1" applyBorder="1" applyAlignment="1" applyProtection="1">
      <alignment vertical="center"/>
    </xf>
    <xf numFmtId="3" fontId="0" fillId="0" borderId="0" xfId="0" applyNumberFormat="1"/>
    <xf numFmtId="0" fontId="10" fillId="77" borderId="0" xfId="0" applyFont="1" applyFill="1" applyBorder="1" applyAlignment="1">
      <alignment vertical="center"/>
    </xf>
    <xf numFmtId="165" fontId="10" fillId="45" borderId="5" xfId="2" applyNumberFormat="1" applyFont="1" applyFill="1" applyBorder="1" applyAlignment="1">
      <alignment vertical="center"/>
    </xf>
    <xf numFmtId="165" fontId="63" fillId="45" borderId="5" xfId="2" applyNumberFormat="1" applyFont="1" applyFill="1" applyBorder="1" applyAlignment="1">
      <alignment vertical="center"/>
    </xf>
    <xf numFmtId="167" fontId="64" fillId="77" borderId="9" xfId="4" applyNumberFormat="1" applyFont="1" applyFill="1" applyBorder="1" applyAlignment="1">
      <alignment vertical="center"/>
    </xf>
    <xf numFmtId="167" fontId="17" fillId="77" borderId="9" xfId="1" applyNumberFormat="1" applyFont="1" applyFill="1" applyBorder="1" applyAlignment="1">
      <alignment vertical="center"/>
    </xf>
    <xf numFmtId="164" fontId="5" fillId="18" borderId="7" xfId="1" applyNumberFormat="1" applyFont="1" applyFill="1" applyBorder="1" applyAlignment="1" applyProtection="1">
      <alignment vertical="center"/>
    </xf>
    <xf numFmtId="164" fontId="63" fillId="0" borderId="5" xfId="1" applyNumberFormat="1" applyFont="1" applyFill="1" applyBorder="1" applyAlignment="1" applyProtection="1">
      <alignment vertical="center"/>
    </xf>
    <xf numFmtId="164" fontId="14" fillId="0" borderId="9" xfId="1" applyNumberFormat="1" applyFont="1" applyFill="1" applyBorder="1" applyAlignment="1" applyProtection="1">
      <alignment vertical="center"/>
    </xf>
    <xf numFmtId="0" fontId="6" fillId="0" borderId="0" xfId="0" applyFont="1"/>
    <xf numFmtId="0" fontId="8" fillId="0" borderId="0" xfId="0" applyFont="1" applyFill="1" applyBorder="1" applyAlignment="1">
      <alignment vertical="center"/>
    </xf>
    <xf numFmtId="165" fontId="0" fillId="0" borderId="12" xfId="2" applyNumberFormat="1" applyFont="1" applyBorder="1"/>
    <xf numFmtId="3" fontId="14" fillId="0" borderId="0" xfId="0" applyNumberFormat="1" applyFont="1" applyFill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9" fillId="70" borderId="21" xfId="3" applyFont="1" applyFill="1" applyBorder="1" applyAlignment="1">
      <alignment horizontal="center" vertical="center"/>
    </xf>
    <xf numFmtId="0" fontId="19" fillId="70" borderId="3" xfId="3" applyFont="1" applyFill="1" applyBorder="1" applyAlignment="1">
      <alignment horizontal="center" vertical="center"/>
    </xf>
    <xf numFmtId="0" fontId="19" fillId="70" borderId="4" xfId="3" applyFont="1" applyFill="1" applyBorder="1" applyAlignment="1">
      <alignment horizontal="center" vertical="center"/>
    </xf>
  </cellXfs>
  <cellStyles count="427">
    <cellStyle name="20% - Accent1" xfId="124" builtinId="30" customBuiltin="1"/>
    <cellStyle name="20% - Accent1 2" xfId="5"/>
    <cellStyle name="20% - Accent1 2 2" xfId="6"/>
    <cellStyle name="20% - Accent1 2 2 2" xfId="224"/>
    <cellStyle name="20% - Accent1 2 2 2 2" xfId="369"/>
    <cellStyle name="20% - Accent1 2 2 3" xfId="151"/>
    <cellStyle name="20% - Accent1 2 2 4" xfId="296"/>
    <cellStyle name="20% - Accent1 2 3" xfId="223"/>
    <cellStyle name="20% - Accent1 2 3 2" xfId="368"/>
    <cellStyle name="20% - Accent1 2 4" xfId="150"/>
    <cellStyle name="20% - Accent1 2 5" xfId="295"/>
    <cellStyle name="20% - Accent1 3" xfId="350"/>
    <cellStyle name="20% - Accent2" xfId="128" builtinId="34" customBuiltin="1"/>
    <cellStyle name="20% - Accent2 2" xfId="7"/>
    <cellStyle name="20% - Accent2 2 2" xfId="8"/>
    <cellStyle name="20% - Accent2 2 2 2" xfId="226"/>
    <cellStyle name="20% - Accent2 2 2 2 2" xfId="371"/>
    <cellStyle name="20% - Accent2 2 2 3" xfId="153"/>
    <cellStyle name="20% - Accent2 2 2 4" xfId="298"/>
    <cellStyle name="20% - Accent2 2 3" xfId="225"/>
    <cellStyle name="20% - Accent2 2 3 2" xfId="370"/>
    <cellStyle name="20% - Accent2 2 4" xfId="152"/>
    <cellStyle name="20% - Accent2 2 5" xfId="297"/>
    <cellStyle name="20% - Accent2 3" xfId="352"/>
    <cellStyle name="20% - Accent3" xfId="132" builtinId="38" customBuiltin="1"/>
    <cellStyle name="20% - Accent3 2" xfId="9"/>
    <cellStyle name="20% - Accent3 2 2" xfId="10"/>
    <cellStyle name="20% - Accent3 2 2 2" xfId="228"/>
    <cellStyle name="20% - Accent3 2 2 2 2" xfId="373"/>
    <cellStyle name="20% - Accent3 2 2 3" xfId="155"/>
    <cellStyle name="20% - Accent3 2 2 4" xfId="300"/>
    <cellStyle name="20% - Accent3 2 3" xfId="227"/>
    <cellStyle name="20% - Accent3 2 3 2" xfId="372"/>
    <cellStyle name="20% - Accent3 2 4" xfId="154"/>
    <cellStyle name="20% - Accent3 2 5" xfId="299"/>
    <cellStyle name="20% - Accent3 3" xfId="354"/>
    <cellStyle name="20% - Accent4" xfId="136" builtinId="42" customBuiltin="1"/>
    <cellStyle name="20% - Accent4 2" xfId="11"/>
    <cellStyle name="20% - Accent4 2 2" xfId="12"/>
    <cellStyle name="20% - Accent4 2 2 2" xfId="230"/>
    <cellStyle name="20% - Accent4 2 2 2 2" xfId="375"/>
    <cellStyle name="20% - Accent4 2 2 3" xfId="157"/>
    <cellStyle name="20% - Accent4 2 2 4" xfId="302"/>
    <cellStyle name="20% - Accent4 2 3" xfId="229"/>
    <cellStyle name="20% - Accent4 2 3 2" xfId="374"/>
    <cellStyle name="20% - Accent4 2 4" xfId="156"/>
    <cellStyle name="20% - Accent4 2 5" xfId="301"/>
    <cellStyle name="20% - Accent4 3" xfId="356"/>
    <cellStyle name="20% - Accent5" xfId="140" builtinId="46" customBuiltin="1"/>
    <cellStyle name="20% - Accent5 2" xfId="13"/>
    <cellStyle name="20% - Accent5 2 2" xfId="14"/>
    <cellStyle name="20% - Accent5 2 2 2" xfId="232"/>
    <cellStyle name="20% - Accent5 2 2 2 2" xfId="377"/>
    <cellStyle name="20% - Accent5 2 2 3" xfId="159"/>
    <cellStyle name="20% - Accent5 2 2 4" xfId="304"/>
    <cellStyle name="20% - Accent5 2 3" xfId="231"/>
    <cellStyle name="20% - Accent5 2 3 2" xfId="376"/>
    <cellStyle name="20% - Accent5 2 4" xfId="158"/>
    <cellStyle name="20% - Accent5 2 5" xfId="303"/>
    <cellStyle name="20% - Accent5 3" xfId="358"/>
    <cellStyle name="20% - Accent6" xfId="144" builtinId="50" customBuiltin="1"/>
    <cellStyle name="20% - Accent6 2" xfId="15"/>
    <cellStyle name="20% - Accent6 2 2" xfId="16"/>
    <cellStyle name="20% - Accent6 2 2 2" xfId="234"/>
    <cellStyle name="20% - Accent6 2 2 2 2" xfId="379"/>
    <cellStyle name="20% - Accent6 2 2 3" xfId="161"/>
    <cellStyle name="20% - Accent6 2 2 4" xfId="306"/>
    <cellStyle name="20% - Accent6 2 3" xfId="233"/>
    <cellStyle name="20% - Accent6 2 3 2" xfId="378"/>
    <cellStyle name="20% - Accent6 2 4" xfId="160"/>
    <cellStyle name="20% - Accent6 2 5" xfId="305"/>
    <cellStyle name="20% - Accent6 3" xfId="360"/>
    <cellStyle name="40% - Accent1" xfId="125" builtinId="31" customBuiltin="1"/>
    <cellStyle name="40% - Accent1 2" xfId="17"/>
    <cellStyle name="40% - Accent1 2 2" xfId="18"/>
    <cellStyle name="40% - Accent1 2 2 2" xfId="236"/>
    <cellStyle name="40% - Accent1 2 2 2 2" xfId="381"/>
    <cellStyle name="40% - Accent1 2 2 3" xfId="163"/>
    <cellStyle name="40% - Accent1 2 2 4" xfId="308"/>
    <cellStyle name="40% - Accent1 2 3" xfId="235"/>
    <cellStyle name="40% - Accent1 2 3 2" xfId="380"/>
    <cellStyle name="40% - Accent1 2 4" xfId="162"/>
    <cellStyle name="40% - Accent1 2 5" xfId="307"/>
    <cellStyle name="40% - Accent1 3" xfId="351"/>
    <cellStyle name="40% - Accent2" xfId="129" builtinId="35" customBuiltin="1"/>
    <cellStyle name="40% - Accent2 2" xfId="19"/>
    <cellStyle name="40% - Accent2 2 2" xfId="20"/>
    <cellStyle name="40% - Accent2 2 2 2" xfId="238"/>
    <cellStyle name="40% - Accent2 2 2 2 2" xfId="383"/>
    <cellStyle name="40% - Accent2 2 2 3" xfId="165"/>
    <cellStyle name="40% - Accent2 2 2 4" xfId="310"/>
    <cellStyle name="40% - Accent2 2 3" xfId="237"/>
    <cellStyle name="40% - Accent2 2 3 2" xfId="382"/>
    <cellStyle name="40% - Accent2 2 4" xfId="164"/>
    <cellStyle name="40% - Accent2 2 5" xfId="309"/>
    <cellStyle name="40% - Accent2 3" xfId="353"/>
    <cellStyle name="40% - Accent3" xfId="133" builtinId="39" customBuiltin="1"/>
    <cellStyle name="40% - Accent3 2" xfId="21"/>
    <cellStyle name="40% - Accent3 2 2" xfId="22"/>
    <cellStyle name="40% - Accent3 2 2 2" xfId="240"/>
    <cellStyle name="40% - Accent3 2 2 2 2" xfId="385"/>
    <cellStyle name="40% - Accent3 2 2 3" xfId="167"/>
    <cellStyle name="40% - Accent3 2 2 4" xfId="312"/>
    <cellStyle name="40% - Accent3 2 3" xfId="239"/>
    <cellStyle name="40% - Accent3 2 3 2" xfId="384"/>
    <cellStyle name="40% - Accent3 2 4" xfId="166"/>
    <cellStyle name="40% - Accent3 2 5" xfId="311"/>
    <cellStyle name="40% - Accent3 3" xfId="355"/>
    <cellStyle name="40% - Accent4" xfId="137" builtinId="43" customBuiltin="1"/>
    <cellStyle name="40% - Accent4 2" xfId="23"/>
    <cellStyle name="40% - Accent4 2 2" xfId="24"/>
    <cellStyle name="40% - Accent4 2 2 2" xfId="242"/>
    <cellStyle name="40% - Accent4 2 2 2 2" xfId="387"/>
    <cellStyle name="40% - Accent4 2 2 3" xfId="169"/>
    <cellStyle name="40% - Accent4 2 2 4" xfId="314"/>
    <cellStyle name="40% - Accent4 2 3" xfId="241"/>
    <cellStyle name="40% - Accent4 2 3 2" xfId="386"/>
    <cellStyle name="40% - Accent4 2 4" xfId="168"/>
    <cellStyle name="40% - Accent4 2 5" xfId="313"/>
    <cellStyle name="40% - Accent4 3" xfId="357"/>
    <cellStyle name="40% - Accent5" xfId="141" builtinId="47" customBuiltin="1"/>
    <cellStyle name="40% - Accent5 2" xfId="25"/>
    <cellStyle name="40% - Accent5 2 2" xfId="26"/>
    <cellStyle name="40% - Accent5 2 2 2" xfId="244"/>
    <cellStyle name="40% - Accent5 2 2 2 2" xfId="389"/>
    <cellStyle name="40% - Accent5 2 2 3" xfId="171"/>
    <cellStyle name="40% - Accent5 2 2 4" xfId="316"/>
    <cellStyle name="40% - Accent5 2 3" xfId="243"/>
    <cellStyle name="40% - Accent5 2 3 2" xfId="388"/>
    <cellStyle name="40% - Accent5 2 4" xfId="170"/>
    <cellStyle name="40% - Accent5 2 5" xfId="315"/>
    <cellStyle name="40% - Accent5 3" xfId="359"/>
    <cellStyle name="40% - Accent6" xfId="145" builtinId="51" customBuiltin="1"/>
    <cellStyle name="40% - Accent6 2" xfId="27"/>
    <cellStyle name="40% - Accent6 2 2" xfId="28"/>
    <cellStyle name="40% - Accent6 2 2 2" xfId="246"/>
    <cellStyle name="40% - Accent6 2 2 2 2" xfId="391"/>
    <cellStyle name="40% - Accent6 2 2 3" xfId="173"/>
    <cellStyle name="40% - Accent6 2 2 4" xfId="318"/>
    <cellStyle name="40% - Accent6 2 3" xfId="245"/>
    <cellStyle name="40% - Accent6 2 3 2" xfId="390"/>
    <cellStyle name="40% - Accent6 2 4" xfId="172"/>
    <cellStyle name="40% - Accent6 2 5" xfId="317"/>
    <cellStyle name="40% - Accent6 3" xfId="361"/>
    <cellStyle name="60% - Accent1" xfId="126" builtinId="32" customBuiltin="1"/>
    <cellStyle name="60% - Accent2" xfId="130" builtinId="36" customBuiltin="1"/>
    <cellStyle name="60% - Accent3" xfId="134" builtinId="40" customBuiltin="1"/>
    <cellStyle name="60% - Accent4" xfId="138" builtinId="44" customBuiltin="1"/>
    <cellStyle name="60% - Accent5" xfId="142" builtinId="48" customBuiltin="1"/>
    <cellStyle name="60% - Accent6" xfId="146" builtinId="52" customBuiltin="1"/>
    <cellStyle name="Accent1" xfId="123" builtinId="29" customBuiltin="1"/>
    <cellStyle name="Accent1 - 20%" xfId="29"/>
    <cellStyle name="Accent1 - 40%" xfId="30"/>
    <cellStyle name="Accent1 - 60%" xfId="31"/>
    <cellStyle name="Accent2" xfId="127" builtinId="33" customBuiltin="1"/>
    <cellStyle name="Accent2 - 20%" xfId="32"/>
    <cellStyle name="Accent2 - 40%" xfId="33"/>
    <cellStyle name="Accent2 - 60%" xfId="34"/>
    <cellStyle name="Accent3" xfId="131" builtinId="37" customBuiltin="1"/>
    <cellStyle name="Accent3 - 20%" xfId="35"/>
    <cellStyle name="Accent3 - 40%" xfId="36"/>
    <cellStyle name="Accent3 - 60%" xfId="37"/>
    <cellStyle name="Accent4" xfId="135" builtinId="41" customBuiltin="1"/>
    <cellStyle name="Accent4 - 20%" xfId="38"/>
    <cellStyle name="Accent4 - 40%" xfId="39"/>
    <cellStyle name="Accent4 - 60%" xfId="40"/>
    <cellStyle name="Accent5" xfId="139" builtinId="45" customBuiltin="1"/>
    <cellStyle name="Accent5 - 20%" xfId="41"/>
    <cellStyle name="Accent5 - 40%" xfId="42"/>
    <cellStyle name="Accent5 - 60%" xfId="43"/>
    <cellStyle name="Accent6" xfId="143" builtinId="49" customBuiltin="1"/>
    <cellStyle name="Accent6 - 20%" xfId="44"/>
    <cellStyle name="Accent6 - 40%" xfId="45"/>
    <cellStyle name="Accent6 - 60%" xfId="46"/>
    <cellStyle name="Bad" xfId="113" builtinId="27" customBuiltin="1"/>
    <cellStyle name="Calculation" xfId="117" builtinId="22" customBuiltin="1"/>
    <cellStyle name="Check Cell" xfId="119" builtinId="23" customBuiltin="1"/>
    <cellStyle name="Comma" xfId="1" builtinId="3"/>
    <cellStyle name="Comma 10" xfId="219"/>
    <cellStyle name="Comma 2" xfId="4"/>
    <cellStyle name="Comma 2 2" xfId="47"/>
    <cellStyle name="Comma 2 2 2" xfId="247"/>
    <cellStyle name="Comma 2 2 3" xfId="175"/>
    <cellStyle name="Comma 2 3" xfId="48"/>
    <cellStyle name="Comma 2 3 2" xfId="248"/>
    <cellStyle name="Comma 2 3 3" xfId="176"/>
    <cellStyle name="Comma 2 3 4" xfId="320"/>
    <cellStyle name="Comma 2 4" xfId="49"/>
    <cellStyle name="Comma 2 5" xfId="222"/>
    <cellStyle name="Comma 2 5 2" xfId="367"/>
    <cellStyle name="Comma 2 6" xfId="174"/>
    <cellStyle name="Comma 2 7" xfId="319"/>
    <cellStyle name="Comma 3" xfId="50"/>
    <cellStyle name="Comma 3 2" xfId="51"/>
    <cellStyle name="Comma 3 2 2" xfId="250"/>
    <cellStyle name="Comma 3 2 2 2" xfId="393"/>
    <cellStyle name="Comma 3 2 3" xfId="178"/>
    <cellStyle name="Comma 3 2 4" xfId="322"/>
    <cellStyle name="Comma 3 3" xfId="249"/>
    <cellStyle name="Comma 3 3 2" xfId="392"/>
    <cellStyle name="Comma 3 4" xfId="177"/>
    <cellStyle name="Comma 3 5" xfId="321"/>
    <cellStyle name="Comma 4" xfId="52"/>
    <cellStyle name="Comma 4 2" xfId="53"/>
    <cellStyle name="Comma 4 2 2" xfId="252"/>
    <cellStyle name="Comma 4 2 2 2" xfId="395"/>
    <cellStyle name="Comma 4 2 3" xfId="180"/>
    <cellStyle name="Comma 4 2 4" xfId="324"/>
    <cellStyle name="Comma 4 3" xfId="251"/>
    <cellStyle name="Comma 4 3 2" xfId="394"/>
    <cellStyle name="Comma 4 4" xfId="179"/>
    <cellStyle name="Comma 4 5" xfId="323"/>
    <cellStyle name="Comma 5" xfId="54"/>
    <cellStyle name="Comma 5 2" xfId="55"/>
    <cellStyle name="Comma 5 2 2" xfId="254"/>
    <cellStyle name="Comma 5 2 3" xfId="397"/>
    <cellStyle name="Comma 5 3" xfId="253"/>
    <cellStyle name="Comma 5 3 2" xfId="396"/>
    <cellStyle name="Comma 5 4" xfId="181"/>
    <cellStyle name="Comma 6" xfId="56"/>
    <cellStyle name="Comma 6 2" xfId="57"/>
    <cellStyle name="Comma 6 2 2" xfId="256"/>
    <cellStyle name="Comma 6 2 2 2" xfId="399"/>
    <cellStyle name="Comma 6 2 3" xfId="183"/>
    <cellStyle name="Comma 6 2 4" xfId="326"/>
    <cellStyle name="Comma 6 3" xfId="255"/>
    <cellStyle name="Comma 6 3 2" xfId="398"/>
    <cellStyle name="Comma 6 4" xfId="182"/>
    <cellStyle name="Comma 6 5" xfId="325"/>
    <cellStyle name="Comma 7" xfId="58"/>
    <cellStyle name="Comma 7 2" xfId="257"/>
    <cellStyle name="Comma 7 3" xfId="149"/>
    <cellStyle name="Comma 7 4" xfId="294"/>
    <cellStyle name="Comma 8" xfId="59"/>
    <cellStyle name="Comma 8 2" xfId="258"/>
    <cellStyle name="Comma 8 2 2" xfId="400"/>
    <cellStyle name="Comma 8 3" xfId="148"/>
    <cellStyle name="Comma 9" xfId="60"/>
    <cellStyle name="Comma 9 2" xfId="259"/>
    <cellStyle name="Comma 9 3" xfId="218"/>
    <cellStyle name="Comma 9 4" xfId="365"/>
    <cellStyle name="Currency 2" xfId="61"/>
    <cellStyle name="Currency 2 2" xfId="62"/>
    <cellStyle name="Currency 2 2 2" xfId="261"/>
    <cellStyle name="Currency 2 2 3" xfId="185"/>
    <cellStyle name="Currency 2 2 4" xfId="328"/>
    <cellStyle name="Currency 2 3" xfId="63"/>
    <cellStyle name="Currency 2 4" xfId="64"/>
    <cellStyle name="Currency 2 5" xfId="260"/>
    <cellStyle name="Currency 2 5 2" xfId="401"/>
    <cellStyle name="Currency 2 6" xfId="184"/>
    <cellStyle name="Currency 2 7" xfId="327"/>
    <cellStyle name="Currency 3" xfId="65"/>
    <cellStyle name="Currency 3 2" xfId="262"/>
    <cellStyle name="Currency 3 2 2" xfId="402"/>
    <cellStyle name="Currency 3 3" xfId="186"/>
    <cellStyle name="Currency 4" xfId="66"/>
    <cellStyle name="Currency 4 2" xfId="67"/>
    <cellStyle name="Currency 4 2 2" xfId="264"/>
    <cellStyle name="Currency 4 2 2 2" xfId="404"/>
    <cellStyle name="Currency 4 2 3" xfId="188"/>
    <cellStyle name="Currency 4 2 4" xfId="330"/>
    <cellStyle name="Currency 4 3" xfId="263"/>
    <cellStyle name="Currency 4 3 2" xfId="403"/>
    <cellStyle name="Currency 4 4" xfId="187"/>
    <cellStyle name="Currency 4 5" xfId="329"/>
    <cellStyle name="Currency 5" xfId="68"/>
    <cellStyle name="Currency 5 2" xfId="265"/>
    <cellStyle name="Currency 5 2 2" xfId="405"/>
    <cellStyle name="Currency 5 3" xfId="189"/>
    <cellStyle name="Currency 5 4" xfId="331"/>
    <cellStyle name="Emphasis 1" xfId="69"/>
    <cellStyle name="Emphasis 2" xfId="70"/>
    <cellStyle name="Emphasis 3" xfId="71"/>
    <cellStyle name="Explanatory Text" xfId="121" builtinId="53" customBuiltin="1"/>
    <cellStyle name="Followed Hyperlink" xfId="217" builtinId="9" customBuiltin="1"/>
    <cellStyle name="Good" xfId="112" builtinId="26" customBuiltin="1"/>
    <cellStyle name="Heading 1" xfId="108" builtinId="16" customBuiltin="1"/>
    <cellStyle name="Heading 2" xfId="109" builtinId="17" customBuiltin="1"/>
    <cellStyle name="Heading 3" xfId="110" builtinId="18" customBuiltin="1"/>
    <cellStyle name="Heading 4" xfId="111" builtinId="19" customBuiltin="1"/>
    <cellStyle name="Hyperlink" xfId="210" builtinId="8" customBuiltin="1"/>
    <cellStyle name="Hyperlink 2" xfId="72"/>
    <cellStyle name="Hyperlink 2 2" xfId="266"/>
    <cellStyle name="Hyperlink 2 3" xfId="216"/>
    <cellStyle name="Input" xfId="115" builtinId="20" customBuiltin="1"/>
    <cellStyle name="Linked Cell" xfId="118" builtinId="24" customBuiltin="1"/>
    <cellStyle name="Neutral" xfId="114" builtinId="28" customBuiltin="1"/>
    <cellStyle name="Normal" xfId="0" builtinId="0"/>
    <cellStyle name="Normal 10" xfId="293"/>
    <cellStyle name="Normal 2" xfId="3"/>
    <cellStyle name="Normal 2 2" xfId="73"/>
    <cellStyle name="Normal 2 2 2" xfId="74"/>
    <cellStyle name="Normal 2 2 3" xfId="75"/>
    <cellStyle name="Normal 2 2 3 2" xfId="268"/>
    <cellStyle name="Normal 2 2 3 3" xfId="406"/>
    <cellStyle name="Normal 2 2 4" xfId="267"/>
    <cellStyle name="Normal 2 2 5" xfId="191"/>
    <cellStyle name="Normal 2 2 6" xfId="333"/>
    <cellStyle name="Normal 2 3" xfId="76"/>
    <cellStyle name="Normal 2 4" xfId="77"/>
    <cellStyle name="Normal 2 5" xfId="78"/>
    <cellStyle name="Normal 2 5 2" xfId="269"/>
    <cellStyle name="Normal 2 5 3" xfId="407"/>
    <cellStyle name="Normal 2 6" xfId="221"/>
    <cellStyle name="Normal 2 6 2" xfId="366"/>
    <cellStyle name="Normal 2 7" xfId="190"/>
    <cellStyle name="Normal 2 8" xfId="332"/>
    <cellStyle name="Normal 3" xfId="79"/>
    <cellStyle name="Normal 3 2" xfId="80"/>
    <cellStyle name="Normal 3 2 2" xfId="271"/>
    <cellStyle name="Normal 3 2 3" xfId="193"/>
    <cellStyle name="Normal 3 2 4" xfId="335"/>
    <cellStyle name="Normal 3 3" xfId="81"/>
    <cellStyle name="Normal 3 4" xfId="270"/>
    <cellStyle name="Normal 3 4 2" xfId="408"/>
    <cellStyle name="Normal 3 5" xfId="192"/>
    <cellStyle name="Normal 3 6" xfId="334"/>
    <cellStyle name="Normal 4" xfId="82"/>
    <cellStyle name="Normal 4 2" xfId="83"/>
    <cellStyle name="Normal 4 2 2" xfId="273"/>
    <cellStyle name="Normal 4 2 3" xfId="410"/>
    <cellStyle name="Normal 4 3" xfId="272"/>
    <cellStyle name="Normal 4 3 2" xfId="409"/>
    <cellStyle name="Normal 4 4" xfId="194"/>
    <cellStyle name="Normal 5" xfId="84"/>
    <cellStyle name="Normal 5 2" xfId="274"/>
    <cellStyle name="Normal 6" xfId="85"/>
    <cellStyle name="Normal 6 2" xfId="275"/>
    <cellStyle name="Normal 6 3" xfId="212"/>
    <cellStyle name="Normal 7" xfId="86"/>
    <cellStyle name="Normal 8" xfId="213"/>
    <cellStyle name="Normal 8 2" xfId="362"/>
    <cellStyle name="Normal 9" xfId="147"/>
    <cellStyle name="Note 2" xfId="87"/>
    <cellStyle name="Note 2 2" xfId="88"/>
    <cellStyle name="Note 2 2 2" xfId="277"/>
    <cellStyle name="Note 2 2 2 2" xfId="412"/>
    <cellStyle name="Note 2 2 3" xfId="196"/>
    <cellStyle name="Note 2 2 4" xfId="337"/>
    <cellStyle name="Note 2 3" xfId="276"/>
    <cellStyle name="Note 2 3 2" xfId="411"/>
    <cellStyle name="Note 2 4" xfId="195"/>
    <cellStyle name="Note 2 5" xfId="336"/>
    <cellStyle name="Note 3" xfId="89"/>
    <cellStyle name="Note 3 2" xfId="278"/>
    <cellStyle name="Note 3 2 2" xfId="413"/>
    <cellStyle name="Note 3 3" xfId="197"/>
    <cellStyle name="Note 3 4" xfId="338"/>
    <cellStyle name="Note 4" xfId="215"/>
    <cellStyle name="Note 4 2" xfId="364"/>
    <cellStyle name="OBI_ColHeader" xfId="90"/>
    <cellStyle name="Output" xfId="116" builtinId="21" customBuiltin="1"/>
    <cellStyle name="Percent" xfId="2" builtinId="5"/>
    <cellStyle name="Percent 10" xfId="211"/>
    <cellStyle name="Percent 11" xfId="214"/>
    <cellStyle name="Percent 11 2" xfId="363"/>
    <cellStyle name="Percent 12" xfId="220"/>
    <cellStyle name="Percent 2" xfId="91"/>
    <cellStyle name="Percent 2 2" xfId="92"/>
    <cellStyle name="Percent 2 2 2" xfId="280"/>
    <cellStyle name="Percent 2 2 3" xfId="199"/>
    <cellStyle name="Percent 2 2 4" xfId="340"/>
    <cellStyle name="Percent 2 3" xfId="93"/>
    <cellStyle name="Percent 2 4" xfId="94"/>
    <cellStyle name="Percent 2 4 2" xfId="281"/>
    <cellStyle name="Percent 2 4 3" xfId="415"/>
    <cellStyle name="Percent 2 5" xfId="95"/>
    <cellStyle name="Percent 2 5 2" xfId="282"/>
    <cellStyle name="Percent 2 5 3" xfId="416"/>
    <cellStyle name="Percent 2 6" xfId="279"/>
    <cellStyle name="Percent 2 6 2" xfId="414"/>
    <cellStyle name="Percent 2 7" xfId="198"/>
    <cellStyle name="Percent 2 8" xfId="339"/>
    <cellStyle name="Percent 3" xfId="96"/>
    <cellStyle name="Percent 3 2" xfId="97"/>
    <cellStyle name="Percent 3 2 2" xfId="284"/>
    <cellStyle name="Percent 3 2 2 2" xfId="418"/>
    <cellStyle name="Percent 3 2 3" xfId="201"/>
    <cellStyle name="Percent 3 2 4" xfId="342"/>
    <cellStyle name="Percent 3 3" xfId="283"/>
    <cellStyle name="Percent 3 3 2" xfId="417"/>
    <cellStyle name="Percent 3 4" xfId="200"/>
    <cellStyle name="Percent 3 5" xfId="341"/>
    <cellStyle name="Percent 4" xfId="98"/>
    <cellStyle name="Percent 4 2" xfId="99"/>
    <cellStyle name="Percent 4 2 2" xfId="286"/>
    <cellStyle name="Percent 4 2 2 2" xfId="420"/>
    <cellStyle name="Percent 4 2 3" xfId="203"/>
    <cellStyle name="Percent 4 2 4" xfId="344"/>
    <cellStyle name="Percent 4 3" xfId="285"/>
    <cellStyle name="Percent 4 3 2" xfId="419"/>
    <cellStyle name="Percent 4 4" xfId="202"/>
    <cellStyle name="Percent 4 5" xfId="343"/>
    <cellStyle name="Percent 5" xfId="100"/>
    <cellStyle name="Percent 5 2" xfId="287"/>
    <cellStyle name="Percent 5 2 2" xfId="421"/>
    <cellStyle name="Percent 5 3" xfId="204"/>
    <cellStyle name="Percent 6" xfId="101"/>
    <cellStyle name="Percent 6 2" xfId="102"/>
    <cellStyle name="Percent 6 2 2" xfId="289"/>
    <cellStyle name="Percent 6 2 2 2" xfId="423"/>
    <cellStyle name="Percent 6 2 3" xfId="206"/>
    <cellStyle name="Percent 6 2 4" xfId="346"/>
    <cellStyle name="Percent 6 3" xfId="288"/>
    <cellStyle name="Percent 6 3 2" xfId="422"/>
    <cellStyle name="Percent 6 4" xfId="205"/>
    <cellStyle name="Percent 6 5" xfId="345"/>
    <cellStyle name="Percent 7" xfId="103"/>
    <cellStyle name="Percent 7 2" xfId="290"/>
    <cellStyle name="Percent 7 2 2" xfId="424"/>
    <cellStyle name="Percent 7 3" xfId="207"/>
    <cellStyle name="Percent 7 4" xfId="347"/>
    <cellStyle name="Percent 8" xfId="104"/>
    <cellStyle name="Percent 8 2" xfId="291"/>
    <cellStyle name="Percent 8 2 2" xfId="425"/>
    <cellStyle name="Percent 8 3" xfId="208"/>
    <cellStyle name="Percent 8 4" xfId="348"/>
    <cellStyle name="Percent 9" xfId="105"/>
    <cellStyle name="Percent 9 2" xfId="292"/>
    <cellStyle name="Percent 9 2 2" xfId="426"/>
    <cellStyle name="Percent 9 3" xfId="209"/>
    <cellStyle name="Percent 9 4" xfId="349"/>
    <cellStyle name="Sheet Title" xfId="106"/>
    <cellStyle name="Title" xfId="107" builtinId="15" customBuiltin="1"/>
    <cellStyle name="Total" xfId="122" builtinId="25" customBuiltin="1"/>
    <cellStyle name="Warning Text" xfId="120" builtinId="11" customBuiltin="1"/>
  </cellStyles>
  <dxfs count="0"/>
  <tableStyles count="0" defaultTableStyle="TableStyleMedium2" defaultPivotStyle="PivotStyleLight16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7"/>
  <sheetViews>
    <sheetView showGridLines="0" zoomScaleNormal="100" workbookViewId="0">
      <selection activeCell="L56" sqref="L56"/>
    </sheetView>
  </sheetViews>
  <sheetFormatPr defaultRowHeight="12.75" x14ac:dyDescent="0.2"/>
  <cols>
    <col min="1" max="1" width="43.42578125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10" width="12.28515625" style="5" bestFit="1" customWidth="1"/>
    <col min="11" max="11" width="11.28515625" style="5" bestFit="1" customWidth="1"/>
    <col min="12" max="12" width="17.7109375" style="5" bestFit="1" customWidth="1"/>
    <col min="13" max="13" width="9.140625" style="5"/>
    <col min="14" max="14" width="18" style="5" bestFit="1" customWidth="1"/>
    <col min="15" max="240" width="9.140625" style="5"/>
  </cols>
  <sheetData>
    <row r="1" spans="1:250" ht="57" customHeight="1" x14ac:dyDescent="0.2">
      <c r="A1" s="1" t="s">
        <v>102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  <c r="J1" s="4" t="s">
        <v>110</v>
      </c>
    </row>
    <row r="2" spans="1:250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  <c r="J2" s="9">
        <v>0</v>
      </c>
    </row>
    <row r="3" spans="1:250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1.056</v>
      </c>
      <c r="H3" s="14">
        <f>G3</f>
        <v>1.056</v>
      </c>
      <c r="I3" s="14">
        <f>H3</f>
        <v>1.056</v>
      </c>
      <c r="J3" s="14">
        <f>I3</f>
        <v>1.056</v>
      </c>
    </row>
    <row r="4" spans="1:250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2">
        <v>7500</v>
      </c>
      <c r="K4" s="219" t="s">
        <v>112</v>
      </c>
    </row>
    <row r="5" spans="1:250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7100</v>
      </c>
      <c r="H5" s="17">
        <v>7200</v>
      </c>
      <c r="I5" s="17">
        <v>7300</v>
      </c>
      <c r="J5" s="17">
        <v>7400</v>
      </c>
      <c r="K5" s="223">
        <f>J5-F5</f>
        <v>400</v>
      </c>
      <c r="L5" s="225" t="s">
        <v>103</v>
      </c>
    </row>
    <row r="6" spans="1:250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17">
        <v>270</v>
      </c>
      <c r="K6" s="223">
        <f t="shared" ref="K6:K7" si="0">J6-F6</f>
        <v>-180</v>
      </c>
      <c r="L6" s="225" t="s">
        <v>104</v>
      </c>
    </row>
    <row r="7" spans="1:250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185</v>
      </c>
      <c r="H7" s="17">
        <v>185</v>
      </c>
      <c r="I7" s="17">
        <v>185</v>
      </c>
      <c r="J7" s="17">
        <v>185</v>
      </c>
      <c r="K7" s="223">
        <f t="shared" si="0"/>
        <v>-12</v>
      </c>
      <c r="L7" s="225" t="s">
        <v>105</v>
      </c>
    </row>
    <row r="8" spans="1:250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>SUM(E5:E7)</f>
        <v>7647</v>
      </c>
      <c r="F8" s="163">
        <f>SUM(F5:F7)</f>
        <v>7647</v>
      </c>
      <c r="G8" s="140">
        <f>SUM(G5:G7)</f>
        <v>7665</v>
      </c>
      <c r="H8" s="23">
        <f>SUM(H5:H7)</f>
        <v>7725</v>
      </c>
      <c r="I8" s="23">
        <f>SUM(I5:I7)</f>
        <v>7785</v>
      </c>
      <c r="J8" s="23">
        <f t="shared" ref="J8" si="2">SUM(J5:J7)</f>
        <v>7855</v>
      </c>
      <c r="K8" s="224">
        <f>SUM(K5:K7)</f>
        <v>208</v>
      </c>
      <c r="L8" s="226" t="s">
        <v>100</v>
      </c>
    </row>
    <row r="9" spans="1:250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18</v>
      </c>
      <c r="H9" s="26">
        <f>H8-G8</f>
        <v>60</v>
      </c>
      <c r="I9" s="26">
        <f>I8-H8</f>
        <v>60</v>
      </c>
      <c r="J9" s="26">
        <f>J8-I8</f>
        <v>70</v>
      </c>
      <c r="K9" s="220"/>
      <c r="L9" s="221"/>
    </row>
    <row r="10" spans="1:250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  <c r="J10" s="31"/>
    </row>
    <row r="11" spans="1:250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8099</v>
      </c>
      <c r="H11" s="31">
        <v>8163</v>
      </c>
      <c r="I11" s="31">
        <v>8229</v>
      </c>
      <c r="J11" s="31">
        <v>8303</v>
      </c>
    </row>
    <row r="12" spans="1:250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31"/>
      <c r="K12" s="124"/>
      <c r="L12" s="126"/>
    </row>
    <row r="13" spans="1:250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7"/>
      <c r="K13" s="125"/>
      <c r="L13" s="126"/>
    </row>
    <row r="14" spans="1:250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F14</f>
        <v>60415210</v>
      </c>
      <c r="H14" s="37">
        <f>G20</f>
        <v>64093210</v>
      </c>
      <c r="I14" s="37">
        <f>H20</f>
        <v>67510210</v>
      </c>
      <c r="J14" s="37">
        <f>I20</f>
        <v>71063210</v>
      </c>
      <c r="IG14"/>
      <c r="IH14"/>
      <c r="II14"/>
      <c r="IJ14"/>
      <c r="IK14"/>
      <c r="IL14"/>
      <c r="IM14"/>
      <c r="IN14"/>
      <c r="IO14"/>
      <c r="IP14"/>
    </row>
    <row r="15" spans="1:250" s="42" customFormat="1" ht="12.75" customHeight="1" x14ac:dyDescent="0.2">
      <c r="A15" s="38" t="s">
        <v>62</v>
      </c>
      <c r="B15" s="39"/>
      <c r="C15" s="39"/>
      <c r="D15" s="40"/>
      <c r="E15" s="166"/>
      <c r="F15" s="166"/>
      <c r="G15" s="128">
        <f>ROUND(142200000*0.026*0.8,-3)</f>
        <v>2958000</v>
      </c>
      <c r="H15" s="41">
        <f>ROUND(119500000*0.026*0.8,-3)</f>
        <v>2486000</v>
      </c>
      <c r="I15" s="41">
        <f>ROUND(124300000*0.026*0.8,-3)</f>
        <v>2585000</v>
      </c>
      <c r="J15" s="41">
        <f>ROUND(124300000*1.04*0.026*0.8,-3)</f>
        <v>2689000</v>
      </c>
      <c r="K15" s="42" t="s">
        <v>82</v>
      </c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ROUND(142200000*0.026*0.1,-3)</f>
        <v>370000</v>
      </c>
      <c r="H16" s="41">
        <f>ROUND(119500000*0.026*0.1,-3)</f>
        <v>311000</v>
      </c>
      <c r="I16" s="41">
        <f>ROUND(124300000*0.026*0.1,-3)</f>
        <v>323000</v>
      </c>
      <c r="J16" s="41">
        <f>ROUND(124300000*1.04*0.026*0.1,-3)</f>
        <v>336000</v>
      </c>
      <c r="K16" s="42" t="s">
        <v>63</v>
      </c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246" t="s">
        <v>116</v>
      </c>
      <c r="I17" s="41"/>
      <c r="J17" s="41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>
        <f>G34</f>
        <v>350000</v>
      </c>
      <c r="H18" s="41">
        <f>H34-10000</f>
        <v>620000</v>
      </c>
      <c r="I18" s="41">
        <f>I34-20000</f>
        <v>645000</v>
      </c>
      <c r="J18" s="41">
        <f>J34-30000</f>
        <v>670000</v>
      </c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42" customFormat="1" ht="12.75" customHeight="1" x14ac:dyDescent="0.2">
      <c r="A19" s="38" t="s">
        <v>118</v>
      </c>
      <c r="B19" s="39"/>
      <c r="C19" s="39"/>
      <c r="D19" s="40"/>
      <c r="E19" s="166"/>
      <c r="F19" s="166"/>
      <c r="G19" s="249"/>
      <c r="H19" s="41"/>
      <c r="I19" s="41"/>
      <c r="J19" s="41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2" customFormat="1" ht="12.75" customHeight="1" x14ac:dyDescent="0.2">
      <c r="A20" s="44" t="s">
        <v>11</v>
      </c>
      <c r="B20" s="45"/>
      <c r="C20" s="45"/>
      <c r="D20" s="22">
        <f t="shared" ref="D20:I20" si="3">SUM(D14:D18)</f>
        <v>50066510</v>
      </c>
      <c r="E20" s="163">
        <f t="shared" si="3"/>
        <v>60925100</v>
      </c>
      <c r="F20" s="163">
        <f t="shared" si="3"/>
        <v>60415210</v>
      </c>
      <c r="G20" s="144">
        <f t="shared" si="3"/>
        <v>64093210</v>
      </c>
      <c r="H20" s="46">
        <f t="shared" si="3"/>
        <v>67510210</v>
      </c>
      <c r="I20" s="46">
        <f t="shared" si="3"/>
        <v>71063210</v>
      </c>
      <c r="J20" s="46">
        <f t="shared" ref="J20" si="4">SUM(J14:J18)</f>
        <v>74758210</v>
      </c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42" customFormat="1" ht="12.75" customHeight="1" x14ac:dyDescent="0.2">
      <c r="A21" s="47" t="s">
        <v>12</v>
      </c>
      <c r="B21" s="48"/>
      <c r="C21" s="48"/>
      <c r="D21" s="22"/>
      <c r="E21" s="163"/>
      <c r="F21" s="163"/>
      <c r="G21" s="144"/>
      <c r="H21" s="46"/>
      <c r="I21" s="46"/>
      <c r="J21" s="46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42" customFormat="1" ht="12.75" customHeight="1" x14ac:dyDescent="0.2">
      <c r="A22" s="49" t="s">
        <v>13</v>
      </c>
      <c r="B22" s="39"/>
      <c r="C22" s="39"/>
      <c r="D22" s="50">
        <v>46623000</v>
      </c>
      <c r="E22" s="167">
        <v>43577000</v>
      </c>
      <c r="F22" s="167">
        <v>43577000</v>
      </c>
      <c r="G22" s="139">
        <v>43733000</v>
      </c>
      <c r="H22" s="51">
        <v>43966000</v>
      </c>
      <c r="I22" s="51">
        <v>44206000</v>
      </c>
      <c r="J22" s="51">
        <v>44521000</v>
      </c>
      <c r="K22" s="196"/>
      <c r="L22" s="5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42" customFormat="1" ht="12.75" customHeight="1" x14ac:dyDescent="0.2">
      <c r="A23" s="49" t="s">
        <v>14</v>
      </c>
      <c r="B23" s="39"/>
      <c r="C23" s="39"/>
      <c r="D23" s="50">
        <v>2139000</v>
      </c>
      <c r="E23" s="167">
        <v>2139000</v>
      </c>
      <c r="F23" s="167">
        <v>2139000</v>
      </c>
      <c r="G23" s="139">
        <v>1867000</v>
      </c>
      <c r="H23" s="51">
        <v>1867000</v>
      </c>
      <c r="I23" s="51">
        <v>1867000</v>
      </c>
      <c r="J23" s="51">
        <v>1867000</v>
      </c>
      <c r="K23" s="53"/>
      <c r="L23" s="5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42" customFormat="1" ht="12.75" customHeight="1" x14ac:dyDescent="0.2">
      <c r="A24" s="49" t="s">
        <v>15</v>
      </c>
      <c r="B24" s="39"/>
      <c r="C24" s="39"/>
      <c r="D24" s="50">
        <v>2251000</v>
      </c>
      <c r="E24" s="167">
        <v>2369000</v>
      </c>
      <c r="F24" s="167">
        <v>2369000</v>
      </c>
      <c r="G24" s="139">
        <v>2411000</v>
      </c>
      <c r="H24" s="51">
        <v>2429000</v>
      </c>
      <c r="I24" s="51">
        <v>2448000</v>
      </c>
      <c r="J24" s="51">
        <v>2470000</v>
      </c>
      <c r="L24" s="5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42" customFormat="1" ht="12.75" customHeight="1" x14ac:dyDescent="0.2">
      <c r="A25" s="47" t="s">
        <v>16</v>
      </c>
      <c r="B25" s="48"/>
      <c r="C25" s="48"/>
      <c r="D25" s="55">
        <f>4882846+454500+25000</f>
        <v>5362346</v>
      </c>
      <c r="E25" s="168">
        <v>5006432</v>
      </c>
      <c r="F25" s="168">
        <v>5006432</v>
      </c>
      <c r="G25" s="145">
        <f>E25</f>
        <v>5006432</v>
      </c>
      <c r="H25" s="56">
        <f>G25</f>
        <v>5006432</v>
      </c>
      <c r="I25" s="56">
        <f>H25</f>
        <v>5006432</v>
      </c>
      <c r="J25" s="56">
        <f>I25</f>
        <v>5006432</v>
      </c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42" customFormat="1" ht="12.75" customHeight="1" x14ac:dyDescent="0.2">
      <c r="A26" s="57" t="s">
        <v>17</v>
      </c>
      <c r="B26" s="58"/>
      <c r="C26" s="58"/>
      <c r="D26" s="59">
        <f>SUM(D17:D25)</f>
        <v>106441856</v>
      </c>
      <c r="E26" s="59">
        <f t="shared" ref="E26:J26" si="5">SUM(E20:E25)</f>
        <v>114016532</v>
      </c>
      <c r="F26" s="59">
        <f t="shared" si="5"/>
        <v>113506642</v>
      </c>
      <c r="G26" s="60">
        <f t="shared" si="5"/>
        <v>117110642</v>
      </c>
      <c r="H26" s="60">
        <f t="shared" si="5"/>
        <v>120778642</v>
      </c>
      <c r="I26" s="60">
        <f t="shared" si="5"/>
        <v>124590642</v>
      </c>
      <c r="J26" s="60">
        <f t="shared" si="5"/>
        <v>128622642</v>
      </c>
      <c r="K26" s="127"/>
      <c r="L26" s="127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42" customFormat="1" ht="12.75" customHeight="1" x14ac:dyDescent="0.2">
      <c r="A27" s="61" t="s">
        <v>18</v>
      </c>
      <c r="B27" s="62"/>
      <c r="C27" s="62"/>
      <c r="D27" s="75">
        <v>114220856</v>
      </c>
      <c r="E27" s="169">
        <v>112355442</v>
      </c>
      <c r="F27" s="169">
        <v>112355442</v>
      </c>
      <c r="G27" s="146">
        <f>F47</f>
        <v>114213342</v>
      </c>
      <c r="H27" s="63">
        <f>G47</f>
        <v>117666042</v>
      </c>
      <c r="I27" s="63">
        <f>H47</f>
        <v>120842141</v>
      </c>
      <c r="J27" s="63">
        <f>I47</f>
        <v>122793758</v>
      </c>
      <c r="K27" s="5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42" customFormat="1" ht="12.75" customHeight="1" thickBot="1" x14ac:dyDescent="0.25">
      <c r="A28" s="20" t="s">
        <v>101</v>
      </c>
      <c r="B28" s="21"/>
      <c r="C28" s="21"/>
      <c r="D28" s="64">
        <f t="shared" ref="D28" si="6">D26-D27</f>
        <v>-7779000</v>
      </c>
      <c r="E28" s="170">
        <f>E26-E27</f>
        <v>1661090</v>
      </c>
      <c r="F28" s="170">
        <f>F26-F27</f>
        <v>1151200</v>
      </c>
      <c r="G28" s="147">
        <f>G26-G27</f>
        <v>2897300</v>
      </c>
      <c r="H28" s="65">
        <f>H26-H27</f>
        <v>3112600</v>
      </c>
      <c r="I28" s="65">
        <f>I26-I27</f>
        <v>3748501</v>
      </c>
      <c r="J28" s="65">
        <f t="shared" ref="J28" si="7">J26-J27</f>
        <v>5828884</v>
      </c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42" customFormat="1" ht="12.75" customHeight="1" thickTop="1" x14ac:dyDescent="0.2">
      <c r="A29" s="20"/>
      <c r="B29" s="21"/>
      <c r="C29" s="21"/>
      <c r="D29" s="66"/>
      <c r="E29" s="171"/>
      <c r="F29" s="171"/>
      <c r="G29" s="148"/>
      <c r="H29" s="67"/>
      <c r="I29" s="67"/>
      <c r="J29" s="67"/>
      <c r="K29" s="68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69" customFormat="1" ht="12.75" customHeight="1" x14ac:dyDescent="0.2">
      <c r="A30" s="20" t="s">
        <v>19</v>
      </c>
      <c r="B30" s="21"/>
      <c r="C30" s="21"/>
      <c r="D30" s="50"/>
      <c r="E30" s="167"/>
      <c r="F30" s="167"/>
      <c r="G30" s="139"/>
      <c r="H30" s="51"/>
      <c r="I30" s="51"/>
      <c r="J30" s="51"/>
    </row>
    <row r="31" spans="1:250" s="42" customFormat="1" ht="12.75" customHeight="1" x14ac:dyDescent="0.2">
      <c r="A31" s="47" t="s">
        <v>20</v>
      </c>
      <c r="B31" s="48"/>
      <c r="C31" s="48"/>
      <c r="D31" s="50"/>
      <c r="E31" s="167">
        <v>148000</v>
      </c>
      <c r="F31" s="167">
        <v>148000</v>
      </c>
      <c r="G31" s="139">
        <f>G24-E24</f>
        <v>42000</v>
      </c>
      <c r="H31" s="51">
        <f>H24-G24</f>
        <v>18000</v>
      </c>
      <c r="I31" s="51">
        <f>I24-H24</f>
        <v>19000</v>
      </c>
      <c r="J31" s="51">
        <f>J24-I24</f>
        <v>22000</v>
      </c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69" customFormat="1" ht="12.75" customHeight="1" x14ac:dyDescent="0.2">
      <c r="A32" s="70" t="s">
        <v>49</v>
      </c>
      <c r="B32" s="48"/>
      <c r="C32" s="48"/>
      <c r="D32" s="50"/>
      <c r="E32" s="167">
        <v>0</v>
      </c>
      <c r="F32" s="167">
        <v>-557100</v>
      </c>
      <c r="G32" s="139">
        <f>ROUND((G22-E22)/3,-3)</f>
        <v>52000</v>
      </c>
      <c r="H32" s="51">
        <f>ROUND((H22-G22)/3,-3)</f>
        <v>78000</v>
      </c>
      <c r="I32" s="51">
        <f>ROUND((I22-H22)/3,-3)</f>
        <v>80000</v>
      </c>
      <c r="J32" s="51">
        <f>ROUND((J22-I22)/3,-3)</f>
        <v>105000</v>
      </c>
    </row>
    <row r="33" spans="1:250" s="69" customFormat="1" ht="12.75" customHeight="1" x14ac:dyDescent="0.2">
      <c r="A33" s="47" t="s">
        <v>21</v>
      </c>
      <c r="B33" s="48"/>
      <c r="C33" s="48"/>
      <c r="D33" s="50"/>
      <c r="E33" s="167">
        <v>1002000</v>
      </c>
      <c r="F33" s="167">
        <v>1002000</v>
      </c>
      <c r="G33" s="139">
        <f>540000/12*7</f>
        <v>315000</v>
      </c>
      <c r="H33" s="51">
        <v>550000</v>
      </c>
      <c r="I33" s="51">
        <v>560000</v>
      </c>
      <c r="J33" s="51">
        <v>560000</v>
      </c>
    </row>
    <row r="34" spans="1:250" s="69" customFormat="1" ht="12.75" customHeight="1" x14ac:dyDescent="0.2">
      <c r="A34" s="70" t="s">
        <v>22</v>
      </c>
      <c r="B34" s="48"/>
      <c r="C34" s="48"/>
      <c r="D34" s="50"/>
      <c r="E34" s="167">
        <v>1160000</v>
      </c>
      <c r="F34" s="167">
        <v>1160000</v>
      </c>
      <c r="G34" s="139">
        <v>350000</v>
      </c>
      <c r="H34" s="51">
        <v>630000</v>
      </c>
      <c r="I34" s="51">
        <v>665000</v>
      </c>
      <c r="J34" s="51">
        <v>700000</v>
      </c>
    </row>
    <row r="35" spans="1:250" s="69" customFormat="1" ht="12.75" customHeight="1" x14ac:dyDescent="0.2">
      <c r="A35" s="70" t="s">
        <v>50</v>
      </c>
      <c r="B35" s="48"/>
      <c r="C35" s="48"/>
      <c r="D35" s="50"/>
      <c r="E35" s="167">
        <v>0</v>
      </c>
      <c r="F35" s="167">
        <v>0</v>
      </c>
      <c r="G35" s="139">
        <v>750000</v>
      </c>
      <c r="H35" s="51">
        <v>750000</v>
      </c>
      <c r="I35" s="51">
        <v>750000</v>
      </c>
      <c r="J35" s="51">
        <v>750000</v>
      </c>
    </row>
    <row r="36" spans="1:250" s="69" customFormat="1" ht="12.75" customHeight="1" x14ac:dyDescent="0.2">
      <c r="A36" s="70" t="s">
        <v>51</v>
      </c>
      <c r="B36" s="21"/>
      <c r="C36" s="21"/>
      <c r="D36" s="50"/>
      <c r="E36" s="167">
        <v>0</v>
      </c>
      <c r="F36" s="167">
        <v>0</v>
      </c>
      <c r="G36" s="139">
        <v>100000</v>
      </c>
      <c r="H36" s="51">
        <v>100000</v>
      </c>
      <c r="I36" s="51">
        <v>100000</v>
      </c>
      <c r="J36" s="51">
        <v>100000</v>
      </c>
    </row>
    <row r="37" spans="1:250" s="69" customFormat="1" ht="12.75" customHeight="1" x14ac:dyDescent="0.2">
      <c r="A37" s="70" t="s">
        <v>88</v>
      </c>
      <c r="B37" s="21"/>
      <c r="C37" s="21"/>
      <c r="D37" s="50"/>
      <c r="E37" s="167"/>
      <c r="F37" s="167"/>
      <c r="G37" s="139">
        <f>G16</f>
        <v>370000</v>
      </c>
      <c r="H37" s="51">
        <f>H16</f>
        <v>311000</v>
      </c>
      <c r="I37" s="51">
        <f>I16</f>
        <v>323000</v>
      </c>
      <c r="J37" s="51">
        <f>J16</f>
        <v>336000</v>
      </c>
    </row>
    <row r="38" spans="1:250" s="69" customFormat="1" ht="12.75" customHeight="1" x14ac:dyDescent="0.2">
      <c r="A38" s="70" t="s">
        <v>67</v>
      </c>
      <c r="B38" s="21"/>
      <c r="C38" s="21"/>
      <c r="D38" s="50"/>
      <c r="E38" s="167"/>
      <c r="F38" s="167"/>
      <c r="G38" s="139"/>
      <c r="H38" s="182">
        <v>-300000</v>
      </c>
      <c r="I38" s="182">
        <v>-1200000</v>
      </c>
      <c r="J38" s="182">
        <v>-900000</v>
      </c>
    </row>
    <row r="39" spans="1:250" s="69" customFormat="1" ht="12.75" customHeight="1" x14ac:dyDescent="0.2">
      <c r="A39" s="70" t="s">
        <v>68</v>
      </c>
      <c r="B39" s="21"/>
      <c r="C39" s="21"/>
      <c r="D39" s="50"/>
      <c r="E39" s="167"/>
      <c r="F39" s="167"/>
      <c r="G39" s="139"/>
      <c r="H39" s="182"/>
      <c r="I39" s="182">
        <v>-497000</v>
      </c>
      <c r="J39" s="182"/>
    </row>
    <row r="40" spans="1:250" s="92" customFormat="1" ht="12.75" customHeight="1" x14ac:dyDescent="0.2">
      <c r="A40" s="117" t="s">
        <v>54</v>
      </c>
      <c r="B40" s="96"/>
      <c r="C40" s="96"/>
      <c r="D40" s="95"/>
      <c r="E40" s="105">
        <v>67000</v>
      </c>
      <c r="F40" s="105">
        <v>67000</v>
      </c>
      <c r="G40" s="128"/>
      <c r="H40" s="90"/>
      <c r="I40" s="90"/>
      <c r="J40" s="90"/>
      <c r="K40" s="54"/>
      <c r="L40" s="91"/>
      <c r="M40" s="54"/>
      <c r="N40" s="91"/>
      <c r="O40" s="54"/>
      <c r="P40" s="54"/>
    </row>
    <row r="41" spans="1:250" s="92" customFormat="1" ht="12.75" customHeight="1" x14ac:dyDescent="0.2">
      <c r="A41" s="117" t="s">
        <v>26</v>
      </c>
      <c r="B41" s="96"/>
      <c r="C41" s="96"/>
      <c r="D41" s="95"/>
      <c r="E41" s="105">
        <v>38000</v>
      </c>
      <c r="F41" s="105">
        <v>38000</v>
      </c>
      <c r="G41" s="232"/>
      <c r="H41" s="90"/>
      <c r="I41" s="90"/>
      <c r="J41" s="90"/>
      <c r="K41" s="54"/>
      <c r="L41" s="91"/>
      <c r="M41" s="54"/>
      <c r="N41" s="91"/>
      <c r="O41" s="54"/>
      <c r="P41" s="54"/>
    </row>
    <row r="42" spans="1:250" s="69" customFormat="1" ht="12" customHeight="1" x14ac:dyDescent="0.2">
      <c r="A42" s="178" t="s">
        <v>89</v>
      </c>
      <c r="B42" s="179"/>
      <c r="C42" s="179"/>
      <c r="D42" s="180"/>
      <c r="E42" s="181"/>
      <c r="F42" s="248"/>
      <c r="G42" s="157">
        <f>405700</f>
        <v>405700</v>
      </c>
      <c r="H42" s="156">
        <v>239099</v>
      </c>
      <c r="I42" s="156">
        <v>351617</v>
      </c>
      <c r="J42" s="156">
        <v>132940</v>
      </c>
    </row>
    <row r="43" spans="1:250" s="69" customFormat="1" ht="12.75" customHeight="1" x14ac:dyDescent="0.2">
      <c r="A43" s="178" t="s">
        <v>90</v>
      </c>
      <c r="B43" s="179"/>
      <c r="C43" s="179"/>
      <c r="D43" s="180"/>
      <c r="E43" s="181"/>
      <c r="F43" s="181"/>
      <c r="G43" s="157">
        <f>768000</f>
        <v>768000</v>
      </c>
      <c r="H43" s="156"/>
      <c r="I43" s="156"/>
      <c r="J43" s="156"/>
    </row>
    <row r="44" spans="1:250" s="69" customFormat="1" ht="12.75" customHeight="1" x14ac:dyDescent="0.2">
      <c r="A44" s="178" t="s">
        <v>109</v>
      </c>
      <c r="B44" s="179"/>
      <c r="C44" s="179"/>
      <c r="D44" s="180"/>
      <c r="E44" s="181"/>
      <c r="F44" s="181"/>
      <c r="G44" s="157"/>
      <c r="H44" s="157">
        <v>500000</v>
      </c>
      <c r="I44" s="156">
        <v>500000</v>
      </c>
      <c r="J44" s="156">
        <v>500000</v>
      </c>
    </row>
    <row r="45" spans="1:250" s="69" customFormat="1" ht="12.75" customHeight="1" x14ac:dyDescent="0.2">
      <c r="A45" s="178" t="s">
        <v>86</v>
      </c>
      <c r="B45" s="179"/>
      <c r="C45" s="179"/>
      <c r="D45" s="180"/>
      <c r="E45" s="181"/>
      <c r="F45" s="181"/>
      <c r="G45" s="157">
        <v>300000</v>
      </c>
      <c r="H45" s="156">
        <v>300000</v>
      </c>
      <c r="I45" s="156">
        <v>300000</v>
      </c>
      <c r="J45" s="156">
        <v>300000</v>
      </c>
    </row>
    <row r="46" spans="1:250" s="42" customFormat="1" ht="12.75" customHeight="1" x14ac:dyDescent="0.2">
      <c r="A46" s="20" t="s">
        <v>23</v>
      </c>
      <c r="B46" s="21"/>
      <c r="C46" s="21"/>
      <c r="D46" s="71">
        <f>SUM(D32:D45)</f>
        <v>0</v>
      </c>
      <c r="E46" s="172">
        <f t="shared" ref="E46:J46" si="8">SUM(E31:E45)</f>
        <v>2415000</v>
      </c>
      <c r="F46" s="172">
        <f t="shared" si="8"/>
        <v>1857900</v>
      </c>
      <c r="G46" s="149">
        <f t="shared" si="8"/>
        <v>3452700</v>
      </c>
      <c r="H46" s="72">
        <f t="shared" si="8"/>
        <v>3176099</v>
      </c>
      <c r="I46" s="72">
        <f t="shared" si="8"/>
        <v>1951617</v>
      </c>
      <c r="J46" s="72">
        <f t="shared" si="8"/>
        <v>2605940</v>
      </c>
      <c r="IG46" s="43"/>
      <c r="IH46" s="43"/>
      <c r="II46" s="43"/>
      <c r="IJ46" s="43"/>
      <c r="IK46" s="43"/>
      <c r="IL46" s="43"/>
      <c r="IM46" s="43"/>
      <c r="IN46" s="43"/>
      <c r="IO46" s="43"/>
      <c r="IP46" s="43"/>
    </row>
    <row r="47" spans="1:250" s="69" customFormat="1" ht="12.75" customHeight="1" x14ac:dyDescent="0.2">
      <c r="A47" s="73" t="s">
        <v>45</v>
      </c>
      <c r="B47" s="74"/>
      <c r="C47" s="74"/>
      <c r="D47" s="75">
        <v>114220856</v>
      </c>
      <c r="E47" s="173">
        <f t="shared" ref="E47:J47" si="9">E27+E46</f>
        <v>114770442</v>
      </c>
      <c r="F47" s="173">
        <f t="shared" si="9"/>
        <v>114213342</v>
      </c>
      <c r="G47" s="150">
        <f t="shared" si="9"/>
        <v>117666042</v>
      </c>
      <c r="H47" s="76">
        <f t="shared" si="9"/>
        <v>120842141</v>
      </c>
      <c r="I47" s="76">
        <f t="shared" si="9"/>
        <v>122793758</v>
      </c>
      <c r="J47" s="76">
        <f t="shared" si="9"/>
        <v>125399698</v>
      </c>
      <c r="K47" s="42"/>
      <c r="L47" s="42"/>
      <c r="M47" s="42"/>
      <c r="N47" s="42"/>
      <c r="O47" s="42"/>
      <c r="P47" s="42"/>
    </row>
    <row r="48" spans="1:250" s="42" customFormat="1" ht="12.75" customHeight="1" x14ac:dyDescent="0.2">
      <c r="A48" s="77"/>
      <c r="B48" s="78"/>
      <c r="C48" s="78"/>
      <c r="D48" s="79"/>
      <c r="E48" s="174"/>
      <c r="F48" s="174"/>
      <c r="G48" s="151"/>
      <c r="H48" s="80"/>
      <c r="I48" s="80"/>
      <c r="J48" s="80"/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69" customFormat="1" ht="12.75" customHeight="1" thickBot="1" x14ac:dyDescent="0.25">
      <c r="A49" s="81" t="s">
        <v>24</v>
      </c>
      <c r="B49" s="82"/>
      <c r="C49" s="82"/>
      <c r="D49" s="83">
        <f t="shared" ref="D49:J49" si="10">D26-D47</f>
        <v>-7779000</v>
      </c>
      <c r="E49" s="175">
        <f t="shared" si="10"/>
        <v>-753910</v>
      </c>
      <c r="F49" s="175">
        <f t="shared" si="10"/>
        <v>-706700</v>
      </c>
      <c r="G49" s="84">
        <f t="shared" si="10"/>
        <v>-555400</v>
      </c>
      <c r="H49" s="84">
        <f t="shared" si="10"/>
        <v>-63499</v>
      </c>
      <c r="I49" s="84">
        <f t="shared" si="10"/>
        <v>1796884</v>
      </c>
      <c r="J49" s="84">
        <f t="shared" si="10"/>
        <v>3222944</v>
      </c>
      <c r="K49" s="42"/>
      <c r="L49" s="85"/>
      <c r="M49" s="42"/>
      <c r="N49" s="42"/>
      <c r="O49" s="42"/>
      <c r="P49" s="42"/>
    </row>
    <row r="50" spans="1:250" s="92" customFormat="1" ht="12.75" hidden="1" customHeight="1" thickTop="1" x14ac:dyDescent="0.2">
      <c r="A50" s="86"/>
      <c r="B50" s="87"/>
      <c r="C50" s="88"/>
      <c r="D50" s="89"/>
      <c r="E50" s="105"/>
      <c r="F50" s="214"/>
      <c r="G50" s="129"/>
      <c r="H50" s="90"/>
      <c r="I50" s="90"/>
      <c r="J50" s="90"/>
      <c r="K50" s="91"/>
      <c r="L50" s="54"/>
      <c r="M50" s="91"/>
      <c r="N50" s="54"/>
      <c r="O50" s="54"/>
    </row>
    <row r="51" spans="1:250" s="69" customFormat="1" ht="12.75" customHeight="1" thickTop="1" x14ac:dyDescent="0.2">
      <c r="A51" s="93" t="s">
        <v>59</v>
      </c>
      <c r="B51" s="87"/>
      <c r="C51" s="87"/>
      <c r="D51" s="95"/>
      <c r="E51" s="105"/>
      <c r="F51" s="214"/>
      <c r="G51" s="129"/>
      <c r="H51" s="90"/>
      <c r="I51" s="90"/>
      <c r="J51" s="90"/>
      <c r="K51" s="42"/>
      <c r="L51" s="68"/>
      <c r="M51" s="42"/>
      <c r="N51" s="68"/>
      <c r="O51" s="42"/>
      <c r="P51" s="42"/>
    </row>
    <row r="52" spans="1:250" s="92" customFormat="1" ht="12.75" customHeight="1" x14ac:dyDescent="0.2">
      <c r="A52" s="241" t="s">
        <v>25</v>
      </c>
      <c r="B52" s="242"/>
      <c r="C52" s="242"/>
      <c r="D52" s="243"/>
      <c r="E52" s="244">
        <v>300000</v>
      </c>
      <c r="F52" s="244">
        <v>300000</v>
      </c>
      <c r="G52" s="245" t="s">
        <v>106</v>
      </c>
      <c r="H52" s="245"/>
      <c r="I52" s="245"/>
      <c r="J52" s="245"/>
      <c r="K52" s="54"/>
      <c r="L52" s="91"/>
      <c r="M52" s="54"/>
      <c r="N52" s="91"/>
      <c r="O52" s="54"/>
      <c r="P52" s="54"/>
    </row>
    <row r="53" spans="1:250" s="92" customFormat="1" ht="12.75" customHeight="1" x14ac:dyDescent="0.2">
      <c r="A53" s="241" t="s">
        <v>28</v>
      </c>
      <c r="B53" s="242"/>
      <c r="C53" s="242"/>
      <c r="D53" s="243"/>
      <c r="E53" s="244">
        <v>300000</v>
      </c>
      <c r="F53" s="244">
        <v>300000</v>
      </c>
      <c r="G53" s="245">
        <v>200000</v>
      </c>
      <c r="H53" s="245"/>
      <c r="I53" s="245"/>
      <c r="J53" s="245"/>
      <c r="K53" s="54"/>
      <c r="L53" s="91"/>
      <c r="M53" s="54"/>
      <c r="N53" s="91"/>
      <c r="O53" s="54"/>
      <c r="P53" s="54"/>
    </row>
    <row r="54" spans="1:250" s="92" customFormat="1" ht="12.75" customHeight="1" x14ac:dyDescent="0.2">
      <c r="A54" s="241" t="s">
        <v>42</v>
      </c>
      <c r="B54" s="242"/>
      <c r="C54" s="242"/>
      <c r="D54" s="243"/>
      <c r="E54" s="244">
        <v>115000</v>
      </c>
      <c r="F54" s="244">
        <v>115000</v>
      </c>
      <c r="G54" s="245">
        <v>100000</v>
      </c>
      <c r="H54" s="245"/>
      <c r="I54" s="245"/>
      <c r="J54" s="245"/>
      <c r="K54" s="54"/>
      <c r="L54" s="91"/>
      <c r="M54" s="54"/>
      <c r="N54" s="91"/>
      <c r="O54" s="54"/>
      <c r="P54" s="54"/>
    </row>
    <row r="55" spans="1:250" s="92" customFormat="1" ht="12.75" customHeight="1" x14ac:dyDescent="0.2">
      <c r="A55" s="208" t="s">
        <v>27</v>
      </c>
      <c r="B55" s="204"/>
      <c r="C55" s="204"/>
      <c r="D55" s="205"/>
      <c r="E55" s="206">
        <v>500000</v>
      </c>
      <c r="F55" s="206">
        <v>500000</v>
      </c>
      <c r="G55" s="207">
        <v>52020</v>
      </c>
      <c r="H55" s="207">
        <v>173400</v>
      </c>
      <c r="I55" s="207">
        <v>173400</v>
      </c>
      <c r="J55" s="207">
        <v>202300</v>
      </c>
      <c r="K55" s="54"/>
      <c r="L55" s="91"/>
      <c r="M55" s="54"/>
      <c r="N55" s="91"/>
      <c r="O55" s="54"/>
      <c r="P55" s="54"/>
    </row>
    <row r="56" spans="1:250" s="92" customFormat="1" ht="12.75" customHeight="1" x14ac:dyDescent="0.2">
      <c r="A56" s="241" t="s">
        <v>29</v>
      </c>
      <c r="B56" s="242"/>
      <c r="C56" s="242"/>
      <c r="D56" s="243"/>
      <c r="E56" s="244">
        <v>406000</v>
      </c>
      <c r="F56" s="244">
        <v>406000</v>
      </c>
      <c r="G56" s="245"/>
      <c r="H56" s="245"/>
      <c r="I56" s="245"/>
      <c r="J56" s="245"/>
      <c r="K56" s="54"/>
      <c r="L56" s="91"/>
      <c r="M56" s="54"/>
      <c r="N56" s="91"/>
      <c r="O56" s="54"/>
      <c r="P56" s="54"/>
    </row>
    <row r="57" spans="1:250" s="92" customFormat="1" ht="12.75" customHeight="1" x14ac:dyDescent="0.2">
      <c r="A57" s="86"/>
      <c r="B57" s="96"/>
      <c r="C57" s="96"/>
      <c r="D57" s="95"/>
      <c r="E57" s="105"/>
      <c r="F57" s="105"/>
      <c r="G57" s="129"/>
      <c r="H57" s="90"/>
      <c r="I57" s="90"/>
      <c r="J57" s="90"/>
      <c r="K57" s="54"/>
      <c r="L57" s="91"/>
      <c r="M57" s="54"/>
      <c r="N57" s="91"/>
      <c r="O57" s="54"/>
      <c r="P57" s="54"/>
    </row>
    <row r="58" spans="1:250" s="69" customFormat="1" ht="12.75" customHeight="1" x14ac:dyDescent="0.2">
      <c r="A58" s="93" t="s">
        <v>60</v>
      </c>
      <c r="B58" s="87"/>
      <c r="C58" s="87"/>
      <c r="D58" s="97"/>
      <c r="E58" s="176">
        <f t="shared" ref="E58:J58" si="11">SUM(E52:E57)</f>
        <v>1621000</v>
      </c>
      <c r="F58" s="176">
        <f t="shared" si="11"/>
        <v>1621000</v>
      </c>
      <c r="G58" s="152">
        <f t="shared" si="11"/>
        <v>352020</v>
      </c>
      <c r="H58" s="98">
        <f t="shared" si="11"/>
        <v>173400</v>
      </c>
      <c r="I58" s="98">
        <f t="shared" si="11"/>
        <v>173400</v>
      </c>
      <c r="J58" s="98">
        <f t="shared" si="11"/>
        <v>202300</v>
      </c>
      <c r="K58" s="99"/>
      <c r="L58" s="100"/>
      <c r="M58" s="99"/>
      <c r="N58" s="100"/>
      <c r="O58" s="99"/>
      <c r="P58" s="99"/>
    </row>
    <row r="59" spans="1:250" s="69" customFormat="1" ht="12.75" customHeight="1" x14ac:dyDescent="0.2">
      <c r="A59" s="93"/>
      <c r="B59" s="87"/>
      <c r="C59" s="87"/>
      <c r="D59" s="95"/>
      <c r="E59" s="105"/>
      <c r="F59" s="105"/>
      <c r="G59" s="129"/>
      <c r="H59" s="90"/>
      <c r="I59" s="90"/>
      <c r="J59" s="90"/>
      <c r="K59" s="42"/>
      <c r="L59" s="68"/>
      <c r="M59" s="42"/>
      <c r="N59" s="68"/>
      <c r="O59" s="42"/>
      <c r="P59" s="42"/>
    </row>
    <row r="60" spans="1:250" s="42" customFormat="1" ht="12.75" customHeight="1" thickBot="1" x14ac:dyDescent="0.25">
      <c r="A60" s="101" t="s">
        <v>30</v>
      </c>
      <c r="B60" s="102"/>
      <c r="C60" s="102"/>
      <c r="D60" s="103">
        <f t="shared" ref="D60:I60" si="12">D49-D58</f>
        <v>-7779000</v>
      </c>
      <c r="E60" s="103">
        <f t="shared" si="12"/>
        <v>-2374910</v>
      </c>
      <c r="F60" s="103">
        <f t="shared" si="12"/>
        <v>-2327700</v>
      </c>
      <c r="G60" s="153">
        <f t="shared" si="12"/>
        <v>-907420</v>
      </c>
      <c r="H60" s="104">
        <f t="shared" si="12"/>
        <v>-236899</v>
      </c>
      <c r="I60" s="104">
        <f t="shared" si="12"/>
        <v>1623484</v>
      </c>
      <c r="J60" s="104">
        <f>J49-J58</f>
        <v>3020644</v>
      </c>
      <c r="IG60" s="43"/>
      <c r="IH60" s="43"/>
      <c r="II60" s="43"/>
      <c r="IJ60" s="43"/>
      <c r="IK60" s="43"/>
      <c r="IL60" s="43"/>
      <c r="IM60" s="43"/>
      <c r="IN60" s="43"/>
      <c r="IO60" s="43"/>
      <c r="IP60" s="43"/>
    </row>
    <row r="61" spans="1:250" s="92" customFormat="1" ht="12.75" customHeight="1" thickTop="1" x14ac:dyDescent="0.2">
      <c r="A61" s="86"/>
      <c r="B61" s="87"/>
      <c r="C61" s="94"/>
      <c r="D61" s="105"/>
      <c r="E61" s="105"/>
      <c r="F61" s="105"/>
      <c r="G61" s="129"/>
      <c r="H61" s="90"/>
      <c r="I61" s="90"/>
      <c r="J61" s="90"/>
      <c r="K61" s="91"/>
      <c r="L61" s="54"/>
      <c r="M61" s="91"/>
      <c r="N61" s="54"/>
      <c r="O61" s="54"/>
    </row>
    <row r="62" spans="1:250" s="92" customFormat="1" ht="12.75" customHeight="1" x14ac:dyDescent="0.2">
      <c r="A62" s="86" t="s">
        <v>52</v>
      </c>
      <c r="B62" s="87"/>
      <c r="C62" s="94"/>
      <c r="D62" s="105"/>
      <c r="E62" s="105">
        <v>9145975</v>
      </c>
      <c r="F62" s="105">
        <v>9145975</v>
      </c>
      <c r="G62" s="129">
        <f>E63+300000</f>
        <v>7071065</v>
      </c>
      <c r="H62" s="90">
        <f>G63</f>
        <v>6163645</v>
      </c>
      <c r="I62" s="90">
        <f>H63</f>
        <v>5926746</v>
      </c>
      <c r="J62" s="90">
        <f>I63</f>
        <v>7550230</v>
      </c>
      <c r="K62" s="91"/>
      <c r="L62" s="54"/>
      <c r="M62" s="91"/>
      <c r="N62" s="54"/>
      <c r="O62" s="54"/>
    </row>
    <row r="63" spans="1:250" s="92" customFormat="1" ht="12.75" customHeight="1" thickBot="1" x14ac:dyDescent="0.25">
      <c r="A63" s="106" t="s">
        <v>95</v>
      </c>
      <c r="B63" s="107"/>
      <c r="C63" s="108"/>
      <c r="D63" s="109"/>
      <c r="E63" s="109">
        <f>E60+E62</f>
        <v>6771065</v>
      </c>
      <c r="F63" s="109">
        <f>F60+F62</f>
        <v>6818275</v>
      </c>
      <c r="G63" s="110">
        <f>G60+G62</f>
        <v>6163645</v>
      </c>
      <c r="H63" s="110">
        <f>H60+H62</f>
        <v>5926746</v>
      </c>
      <c r="I63" s="110">
        <f>I60+I62</f>
        <v>7550230</v>
      </c>
      <c r="J63" s="110">
        <f t="shared" ref="J63" si="13">J60+J62</f>
        <v>10570874</v>
      </c>
      <c r="K63" s="91"/>
      <c r="L63" s="54"/>
      <c r="M63" s="91"/>
      <c r="N63" s="54"/>
      <c r="O63" s="54"/>
    </row>
    <row r="64" spans="1:250" s="69" customFormat="1" ht="15.75" thickTop="1" x14ac:dyDescent="0.2">
      <c r="A64" s="111" t="s">
        <v>96</v>
      </c>
      <c r="B64" s="111"/>
      <c r="C64" s="111"/>
      <c r="D64" s="112"/>
      <c r="E64" s="177">
        <f t="shared" ref="E64:J64" si="14">E63/E47</f>
        <v>5.8996592519875456E-2</v>
      </c>
      <c r="F64" s="215">
        <f t="shared" si="14"/>
        <v>5.9697710272763056E-2</v>
      </c>
      <c r="G64" s="158">
        <f t="shared" si="14"/>
        <v>5.2382530212072571E-2</v>
      </c>
      <c r="H64" s="216">
        <f t="shared" si="14"/>
        <v>4.9045357446952216E-2</v>
      </c>
      <c r="I64" s="158">
        <f t="shared" si="14"/>
        <v>6.1487083081210037E-2</v>
      </c>
      <c r="J64" s="216">
        <f t="shared" si="14"/>
        <v>8.4297443842328873E-2</v>
      </c>
      <c r="K64" s="42"/>
      <c r="L64" s="85"/>
      <c r="M64" s="42"/>
      <c r="N64" s="42"/>
      <c r="O64" s="42"/>
      <c r="P64" s="42"/>
    </row>
    <row r="65" spans="1:250" s="69" customFormat="1" ht="15" x14ac:dyDescent="0.2">
      <c r="A65" s="21" t="s">
        <v>83</v>
      </c>
      <c r="B65" s="21"/>
      <c r="C65" s="21"/>
      <c r="D65" s="197"/>
      <c r="E65" s="105">
        <f t="shared" ref="E65:J65" si="15">E47*0.05</f>
        <v>5738522.1000000006</v>
      </c>
      <c r="F65" s="217">
        <f t="shared" si="15"/>
        <v>5710667.1000000006</v>
      </c>
      <c r="G65" s="198">
        <f t="shared" si="15"/>
        <v>5883302.1000000006</v>
      </c>
      <c r="H65" s="218">
        <f t="shared" si="15"/>
        <v>6042107.0500000007</v>
      </c>
      <c r="I65" s="198">
        <f t="shared" si="15"/>
        <v>6139687.9000000004</v>
      </c>
      <c r="J65" s="218">
        <f t="shared" si="15"/>
        <v>6269984.9000000004</v>
      </c>
      <c r="K65" s="42"/>
      <c r="L65" s="85"/>
      <c r="M65" s="42"/>
      <c r="N65" s="42"/>
      <c r="O65" s="42"/>
      <c r="P65" s="42"/>
    </row>
    <row r="66" spans="1:250" s="69" customFormat="1" ht="15.75" thickBot="1" x14ac:dyDescent="0.25">
      <c r="A66" s="199" t="s">
        <v>84</v>
      </c>
      <c r="B66" s="199"/>
      <c r="C66" s="199"/>
      <c r="D66" s="200"/>
      <c r="E66" s="202">
        <f>E63-E65</f>
        <v>1032542.8999999994</v>
      </c>
      <c r="F66" s="201">
        <f>F63-F65</f>
        <v>1107607.8999999994</v>
      </c>
      <c r="G66" s="201">
        <f>G63-G65</f>
        <v>280342.89999999944</v>
      </c>
      <c r="H66" s="201">
        <f t="shared" ref="H66:I66" si="16">H63-H65</f>
        <v>-115361.05000000075</v>
      </c>
      <c r="I66" s="201">
        <f t="shared" si="16"/>
        <v>1410542.0999999996</v>
      </c>
      <c r="J66" s="201">
        <f t="shared" ref="J66" si="17">J63-J65</f>
        <v>4300889.0999999996</v>
      </c>
      <c r="K66" s="42"/>
      <c r="L66" s="85"/>
      <c r="M66" s="42"/>
      <c r="N66" s="42"/>
      <c r="O66" s="42"/>
      <c r="P66" s="42"/>
    </row>
    <row r="67" spans="1:250" s="42" customFormat="1" ht="14.25" customHeight="1" thickTop="1" x14ac:dyDescent="0.2">
      <c r="A67" s="123" t="s">
        <v>43</v>
      </c>
      <c r="B67" s="123"/>
      <c r="C67" s="123"/>
      <c r="D67" s="123"/>
      <c r="E67" s="123"/>
      <c r="F67" s="123"/>
      <c r="G67" s="123"/>
      <c r="H67" s="123"/>
      <c r="I67" s="123"/>
      <c r="J67" s="123"/>
      <c r="IG67" s="43"/>
      <c r="IH67" s="43"/>
      <c r="II67" s="43"/>
      <c r="IJ67" s="43"/>
      <c r="IK67" s="43"/>
      <c r="IL67" s="43"/>
      <c r="IM67" s="43"/>
      <c r="IN67" s="43"/>
      <c r="IO67" s="43"/>
      <c r="IP67" s="43"/>
    </row>
    <row r="68" spans="1:250" s="113" customFormat="1" ht="15" x14ac:dyDescent="0.2">
      <c r="A68" s="122" t="s">
        <v>53</v>
      </c>
      <c r="B68" s="122"/>
      <c r="C68" s="122"/>
      <c r="D68" s="122"/>
      <c r="E68" s="122"/>
      <c r="F68" s="122"/>
      <c r="G68" s="122"/>
      <c r="H68" s="12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3"/>
      <c r="IH68" s="43"/>
      <c r="II68" s="43"/>
      <c r="IJ68" s="43"/>
      <c r="IK68" s="43"/>
      <c r="IL68" s="43"/>
      <c r="IM68" s="43"/>
      <c r="IN68" s="43"/>
      <c r="IO68" s="43"/>
      <c r="IP68" s="43"/>
    </row>
    <row r="69" spans="1:250" s="42" customFormat="1" ht="14.25" customHeight="1" x14ac:dyDescent="0.2">
      <c r="A69" s="123" t="s">
        <v>61</v>
      </c>
      <c r="B69" s="123"/>
      <c r="C69" s="123"/>
      <c r="D69" s="123"/>
      <c r="E69" s="123"/>
      <c r="F69" s="123"/>
      <c r="G69" s="123"/>
      <c r="H69" s="123"/>
      <c r="I69" s="123"/>
      <c r="J69" s="123"/>
      <c r="IG69" s="43"/>
      <c r="IH69" s="43"/>
      <c r="II69" s="43"/>
      <c r="IJ69" s="43"/>
      <c r="IK69" s="43"/>
      <c r="IL69" s="43"/>
      <c r="IM69" s="43"/>
      <c r="IN69" s="43"/>
      <c r="IO69" s="43"/>
      <c r="IP69" s="43"/>
    </row>
    <row r="70" spans="1:250" s="113" customFormat="1" ht="14.25" customHeight="1" x14ac:dyDescent="0.2">
      <c r="A70" s="122" t="s">
        <v>55</v>
      </c>
      <c r="B70" s="122"/>
      <c r="C70" s="122"/>
      <c r="D70" s="122"/>
      <c r="E70" s="122"/>
      <c r="F70" s="122"/>
      <c r="G70" s="122"/>
      <c r="H70" s="122"/>
      <c r="I70" s="130"/>
      <c r="J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130"/>
      <c r="IB70" s="130"/>
      <c r="IC70" s="130"/>
      <c r="ID70" s="130"/>
      <c r="IE70" s="130"/>
      <c r="IF70" s="130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</row>
    <row r="71" spans="1:250" s="43" customFormat="1" ht="14.25" customHeight="1" x14ac:dyDescent="0.2">
      <c r="A71" s="132" t="s">
        <v>56</v>
      </c>
      <c r="B71" s="133"/>
      <c r="C71" s="134"/>
      <c r="D71" s="135"/>
      <c r="E71" s="130"/>
      <c r="F71" s="130"/>
      <c r="G71" s="130"/>
      <c r="H71" s="130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</row>
    <row r="72" spans="1:250" s="43" customFormat="1" ht="14.25" customHeight="1" x14ac:dyDescent="0.2">
      <c r="A72" s="42" t="s">
        <v>70</v>
      </c>
      <c r="B72" s="42"/>
      <c r="C72" s="42"/>
      <c r="D72" s="13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</row>
    <row r="73" spans="1:250" s="43" customFormat="1" ht="14.25" customHeight="1" x14ac:dyDescent="0.2">
      <c r="A73" s="132" t="s">
        <v>57</v>
      </c>
      <c r="B73" s="42"/>
      <c r="C73" s="42"/>
      <c r="D73" s="13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</row>
    <row r="74" spans="1:250" s="43" customFormat="1" x14ac:dyDescent="0.2">
      <c r="A74" s="380" t="s">
        <v>58</v>
      </c>
      <c r="B74" s="380"/>
      <c r="C74" s="380"/>
      <c r="D74" s="380"/>
      <c r="E74" s="380"/>
      <c r="F74" s="380"/>
      <c r="G74" s="380"/>
      <c r="H74" s="380"/>
      <c r="I74" s="380"/>
      <c r="J74" s="229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</row>
    <row r="75" spans="1:250" x14ac:dyDescent="0.2">
      <c r="A75" s="121"/>
      <c r="B75" s="121"/>
      <c r="C75" s="121"/>
      <c r="D75" s="121"/>
      <c r="E75" s="121"/>
      <c r="F75" s="121"/>
      <c r="G75" s="121"/>
      <c r="H75" s="121"/>
      <c r="I75" s="121"/>
      <c r="J75" s="121"/>
    </row>
    <row r="76" spans="1:250" ht="12.75" customHeight="1" x14ac:dyDescent="0.2">
      <c r="A76" s="120" t="s">
        <v>31</v>
      </c>
      <c r="B76" s="118"/>
      <c r="C76" s="118"/>
      <c r="D76" s="119"/>
      <c r="E76" s="118"/>
      <c r="F76" s="118"/>
      <c r="G76" s="118"/>
      <c r="H76" s="118"/>
      <c r="I76" s="118"/>
      <c r="J76" s="118"/>
    </row>
    <row r="77" spans="1:250" ht="12.75" customHeight="1" x14ac:dyDescent="0.2">
      <c r="A77" s="5" t="s">
        <v>32</v>
      </c>
      <c r="B77" s="118"/>
      <c r="C77" s="118"/>
      <c r="D77" s="119"/>
      <c r="E77" s="118"/>
      <c r="F77" s="118"/>
      <c r="G77" s="118"/>
      <c r="H77" s="118"/>
      <c r="I77" s="118"/>
      <c r="J77" s="118"/>
    </row>
    <row r="78" spans="1:250" ht="12.75" customHeight="1" x14ac:dyDescent="0.2">
      <c r="A78" s="5" t="s">
        <v>33</v>
      </c>
      <c r="B78" s="118"/>
      <c r="C78" s="118"/>
      <c r="D78" s="119"/>
      <c r="E78" s="118"/>
      <c r="F78" s="118"/>
      <c r="G78" s="118"/>
      <c r="H78" s="118"/>
      <c r="I78" s="118"/>
      <c r="J78" s="118"/>
    </row>
    <row r="79" spans="1:250" ht="12.75" customHeight="1" x14ac:dyDescent="0.2">
      <c r="A79" s="5" t="s">
        <v>34</v>
      </c>
      <c r="B79" s="118"/>
      <c r="C79" s="118"/>
      <c r="D79" s="119"/>
      <c r="E79" s="118"/>
      <c r="F79" s="118"/>
      <c r="G79" s="118"/>
      <c r="H79" s="118"/>
      <c r="I79" s="118"/>
      <c r="J79" s="118"/>
    </row>
    <row r="80" spans="1:250" ht="12.75" customHeight="1" x14ac:dyDescent="0.2">
      <c r="A80" s="5" t="s">
        <v>35</v>
      </c>
      <c r="B80" s="118"/>
      <c r="C80" s="118"/>
      <c r="D80" s="119"/>
      <c r="E80" s="118"/>
      <c r="F80" s="118"/>
      <c r="G80" s="118"/>
      <c r="H80" s="118"/>
      <c r="I80" s="118"/>
      <c r="J80" s="118"/>
    </row>
    <row r="81" spans="1:10" ht="12.75" customHeight="1" x14ac:dyDescent="0.2">
      <c r="A81" s="5" t="s">
        <v>36</v>
      </c>
      <c r="B81" s="118"/>
      <c r="C81" s="118"/>
      <c r="D81" s="119"/>
      <c r="E81" s="118"/>
      <c r="F81" s="118"/>
      <c r="G81" s="118"/>
      <c r="H81" s="118"/>
      <c r="I81" s="118"/>
      <c r="J81" s="118"/>
    </row>
    <row r="82" spans="1:10" ht="12.75" customHeight="1" x14ac:dyDescent="0.2">
      <c r="A82" s="5" t="s">
        <v>37</v>
      </c>
      <c r="B82" s="118"/>
      <c r="C82" s="118"/>
      <c r="D82" s="119"/>
      <c r="E82" s="118"/>
      <c r="F82" s="118"/>
      <c r="G82" s="118"/>
      <c r="H82" s="118"/>
      <c r="I82" s="118"/>
      <c r="J82" s="118"/>
    </row>
    <row r="83" spans="1:10" x14ac:dyDescent="0.2">
      <c r="D83" s="116"/>
    </row>
    <row r="84" spans="1:10" x14ac:dyDescent="0.2">
      <c r="A84" s="114" t="s">
        <v>38</v>
      </c>
      <c r="D84" s="116"/>
    </row>
    <row r="85" spans="1:10" x14ac:dyDescent="0.2">
      <c r="A85" s="19" t="s">
        <v>39</v>
      </c>
      <c r="D85" s="116"/>
    </row>
    <row r="86" spans="1:10" x14ac:dyDescent="0.2">
      <c r="A86" s="19" t="s">
        <v>40</v>
      </c>
      <c r="D86" s="116"/>
    </row>
    <row r="87" spans="1:10" x14ac:dyDescent="0.2">
      <c r="A87" s="19" t="s">
        <v>41</v>
      </c>
      <c r="D87" s="116"/>
    </row>
  </sheetData>
  <sheetProtection selectLockedCells="1" selectUnlockedCells="1"/>
  <mergeCells count="1">
    <mergeCell ref="A74:I74"/>
  </mergeCells>
  <printOptions horizontalCentered="1"/>
  <pageMargins left="0.7" right="0.7" top="0.75" bottom="0.75" header="0.3" footer="0.3"/>
  <pageSetup scale="75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6"/>
  <sheetViews>
    <sheetView showGridLines="0" zoomScaleNormal="100" workbookViewId="0">
      <selection activeCell="F4" sqref="F4:I4"/>
    </sheetView>
  </sheetViews>
  <sheetFormatPr defaultRowHeight="12.75" x14ac:dyDescent="0.2"/>
  <cols>
    <col min="1" max="1" width="56.85546875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9" width="12.28515625" style="5" bestFit="1" customWidth="1"/>
    <col min="10" max="10" width="11.28515625" style="5" bestFit="1" customWidth="1"/>
    <col min="11" max="11" width="17.7109375" style="5" customWidth="1"/>
    <col min="12" max="12" width="9.140625" style="5"/>
    <col min="13" max="13" width="18" style="5" bestFit="1" customWidth="1"/>
    <col min="14" max="239" width="9.140625" style="5"/>
  </cols>
  <sheetData>
    <row r="1" spans="1:249" ht="57" customHeight="1" x14ac:dyDescent="0.2">
      <c r="A1" s="1" t="s">
        <v>93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</row>
    <row r="2" spans="1:249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</row>
    <row r="3" spans="1:249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1.0580000000000001</v>
      </c>
      <c r="H3" s="14">
        <f>G3</f>
        <v>1.0580000000000001</v>
      </c>
      <c r="I3" s="14">
        <f>H3</f>
        <v>1.0580000000000001</v>
      </c>
    </row>
    <row r="4" spans="1:249" s="15" customFormat="1" ht="12.75" customHeight="1" x14ac:dyDescent="0.2">
      <c r="A4" s="11"/>
      <c r="B4" s="12"/>
      <c r="C4" s="12"/>
      <c r="D4" s="13"/>
      <c r="E4" s="161"/>
      <c r="F4" s="212">
        <v>7151</v>
      </c>
      <c r="G4" s="213">
        <v>7250</v>
      </c>
      <c r="H4" s="212">
        <v>7350</v>
      </c>
      <c r="I4" s="212">
        <v>7450</v>
      </c>
      <c r="J4" s="219" t="s">
        <v>99</v>
      </c>
    </row>
    <row r="5" spans="1:249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7100</v>
      </c>
      <c r="H5" s="17">
        <v>7200</v>
      </c>
      <c r="I5" s="17">
        <v>7300</v>
      </c>
      <c r="J5" s="223">
        <f>I5-F5</f>
        <v>300</v>
      </c>
      <c r="K5" s="225" t="s">
        <v>103</v>
      </c>
    </row>
    <row r="6" spans="1:249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223">
        <f t="shared" ref="J6:J8" si="0">I6-F6</f>
        <v>-150</v>
      </c>
      <c r="K6" s="225" t="s">
        <v>104</v>
      </c>
    </row>
    <row r="7" spans="1:249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195</v>
      </c>
      <c r="H7" s="17">
        <v>205</v>
      </c>
      <c r="I7" s="17">
        <v>210</v>
      </c>
      <c r="J7" s="223">
        <f t="shared" si="0"/>
        <v>13</v>
      </c>
      <c r="K7" s="225" t="s">
        <v>105</v>
      </c>
    </row>
    <row r="8" spans="1:249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>SUM(E5:E7)</f>
        <v>7647</v>
      </c>
      <c r="F8" s="163">
        <f>SUM(F5:F7)</f>
        <v>7647</v>
      </c>
      <c r="G8" s="140">
        <f>SUM(G5:G7)</f>
        <v>7675</v>
      </c>
      <c r="H8" s="23">
        <f>SUM(H5:H7)</f>
        <v>7745</v>
      </c>
      <c r="I8" s="23">
        <f>SUM(I5:I7)</f>
        <v>7810</v>
      </c>
      <c r="J8" s="224">
        <f t="shared" si="0"/>
        <v>163</v>
      </c>
      <c r="K8" s="226" t="s">
        <v>100</v>
      </c>
    </row>
    <row r="9" spans="1:249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28</v>
      </c>
      <c r="H9" s="26">
        <f>H8-G8</f>
        <v>70</v>
      </c>
      <c r="I9" s="26">
        <f>I8-H8</f>
        <v>65</v>
      </c>
    </row>
    <row r="10" spans="1:249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</row>
    <row r="11" spans="1:249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8122</v>
      </c>
      <c r="H11" s="31">
        <v>8192</v>
      </c>
      <c r="I11" s="31">
        <v>8259</v>
      </c>
    </row>
    <row r="12" spans="1:249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124"/>
      <c r="K12" s="126"/>
    </row>
    <row r="13" spans="1:249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25"/>
      <c r="K13" s="126"/>
    </row>
    <row r="14" spans="1:249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F14</f>
        <v>60415210</v>
      </c>
      <c r="H14" s="37">
        <f>G19</f>
        <v>63742690</v>
      </c>
      <c r="I14" s="37">
        <f>H19</f>
        <v>66538990</v>
      </c>
      <c r="IF14"/>
      <c r="IG14"/>
      <c r="IH14"/>
      <c r="II14"/>
      <c r="IJ14"/>
      <c r="IK14"/>
      <c r="IL14"/>
      <c r="IM14"/>
      <c r="IN14"/>
      <c r="IO14"/>
    </row>
    <row r="15" spans="1:249" s="42" customFormat="1" ht="12.75" customHeight="1" x14ac:dyDescent="0.2">
      <c r="A15" s="38" t="s">
        <v>62</v>
      </c>
      <c r="B15" s="39"/>
      <c r="C15" s="39"/>
      <c r="D15" s="40"/>
      <c r="E15" s="166"/>
      <c r="F15" s="166"/>
      <c r="G15" s="128">
        <f>142200000*0.026*0.8</f>
        <v>2957760</v>
      </c>
      <c r="H15" s="41">
        <f>119500000*0.026*0.8</f>
        <v>2485600</v>
      </c>
      <c r="I15" s="41">
        <f>124300000*0.026*0.8</f>
        <v>2585440</v>
      </c>
      <c r="J15" s="42" t="s">
        <v>82</v>
      </c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142200000*0.026*0.1</f>
        <v>369720</v>
      </c>
      <c r="H16" s="41">
        <f>119500000*0.026*0.1</f>
        <v>310700</v>
      </c>
      <c r="I16" s="41">
        <f>124300000*0.026*0.1</f>
        <v>323180</v>
      </c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41"/>
      <c r="I17" s="41"/>
      <c r="J17" s="42" t="s">
        <v>63</v>
      </c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/>
      <c r="H18" s="41"/>
      <c r="I18" s="41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s="42" customFormat="1" ht="12.75" customHeight="1" x14ac:dyDescent="0.2">
      <c r="A19" s="44" t="s">
        <v>11</v>
      </c>
      <c r="B19" s="45"/>
      <c r="C19" s="45"/>
      <c r="D19" s="22">
        <f t="shared" ref="D19:I19" si="2">SUM(D14:D18)</f>
        <v>50066510</v>
      </c>
      <c r="E19" s="163">
        <f t="shared" si="2"/>
        <v>60925100</v>
      </c>
      <c r="F19" s="163">
        <f t="shared" si="2"/>
        <v>60415210</v>
      </c>
      <c r="G19" s="144">
        <f t="shared" si="2"/>
        <v>63742690</v>
      </c>
      <c r="H19" s="46">
        <f t="shared" si="2"/>
        <v>66538990</v>
      </c>
      <c r="I19" s="46">
        <f t="shared" si="2"/>
        <v>69447610</v>
      </c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s="42" customFormat="1" ht="12.75" customHeight="1" x14ac:dyDescent="0.2">
      <c r="A20" s="47" t="s">
        <v>12</v>
      </c>
      <c r="B20" s="48"/>
      <c r="C20" s="48"/>
      <c r="D20" s="22"/>
      <c r="E20" s="163"/>
      <c r="F20" s="163"/>
      <c r="G20" s="144"/>
      <c r="H20" s="46"/>
      <c r="I20" s="46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s="42" customFormat="1" ht="12.75" customHeight="1" x14ac:dyDescent="0.2">
      <c r="A21" s="49" t="s">
        <v>13</v>
      </c>
      <c r="B21" s="39"/>
      <c r="C21" s="39"/>
      <c r="D21" s="50">
        <v>46623000</v>
      </c>
      <c r="E21" s="167">
        <v>43577000</v>
      </c>
      <c r="F21" s="167">
        <v>43577000</v>
      </c>
      <c r="G21" s="139">
        <v>43764000</v>
      </c>
      <c r="H21" s="51">
        <v>44059000</v>
      </c>
      <c r="I21" s="51">
        <v>44334000</v>
      </c>
      <c r="J21" s="196"/>
      <c r="K21" s="5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249" s="42" customFormat="1" ht="12.75" customHeight="1" x14ac:dyDescent="0.2">
      <c r="A22" s="49" t="s">
        <v>14</v>
      </c>
      <c r="B22" s="39"/>
      <c r="C22" s="39"/>
      <c r="D22" s="50">
        <v>2139000</v>
      </c>
      <c r="E22" s="167">
        <v>2139000</v>
      </c>
      <c r="F22" s="167">
        <v>2139000</v>
      </c>
      <c r="G22" s="139">
        <v>1967000</v>
      </c>
      <c r="H22" s="51">
        <v>2066000</v>
      </c>
      <c r="I22" s="51">
        <v>2124000</v>
      </c>
      <c r="J22" s="53"/>
      <c r="K22" s="53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s="42" customFormat="1" ht="12.75" customHeight="1" x14ac:dyDescent="0.2">
      <c r="A23" s="49" t="s">
        <v>15</v>
      </c>
      <c r="B23" s="39"/>
      <c r="C23" s="39"/>
      <c r="D23" s="50">
        <v>2251000</v>
      </c>
      <c r="E23" s="167">
        <v>2369000</v>
      </c>
      <c r="F23" s="167">
        <v>2369000</v>
      </c>
      <c r="G23" s="139">
        <v>2413000</v>
      </c>
      <c r="H23" s="51">
        <v>2436000</v>
      </c>
      <c r="I23" s="51">
        <v>2457000</v>
      </c>
      <c r="K23" s="5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s="42" customFormat="1" ht="12.75" customHeight="1" x14ac:dyDescent="0.2">
      <c r="A24" s="47" t="s">
        <v>16</v>
      </c>
      <c r="B24" s="48"/>
      <c r="C24" s="48"/>
      <c r="D24" s="55">
        <f>4882846+454500+25000</f>
        <v>5362346</v>
      </c>
      <c r="E24" s="168">
        <v>5006432</v>
      </c>
      <c r="F24" s="168">
        <v>5006432</v>
      </c>
      <c r="G24" s="145">
        <f>E24</f>
        <v>5006432</v>
      </c>
      <c r="H24" s="56">
        <f>G24</f>
        <v>5006432</v>
      </c>
      <c r="I24" s="56">
        <f>H24</f>
        <v>5006432</v>
      </c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s="42" customFormat="1" ht="12.75" customHeight="1" x14ac:dyDescent="0.2">
      <c r="A25" s="57" t="s">
        <v>17</v>
      </c>
      <c r="B25" s="58"/>
      <c r="C25" s="58"/>
      <c r="D25" s="59">
        <f>SUM(D17:D24)</f>
        <v>106441856</v>
      </c>
      <c r="E25" s="59">
        <f t="shared" ref="E25:I25" si="3">SUM(E19:E24)</f>
        <v>114016532</v>
      </c>
      <c r="F25" s="59">
        <f t="shared" si="3"/>
        <v>113506642</v>
      </c>
      <c r="G25" s="60">
        <f t="shared" si="3"/>
        <v>116893122</v>
      </c>
      <c r="H25" s="60">
        <f t="shared" si="3"/>
        <v>120106422</v>
      </c>
      <c r="I25" s="60">
        <f t="shared" si="3"/>
        <v>123369042</v>
      </c>
      <c r="J25" s="127"/>
      <c r="K25" s="127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s="42" customFormat="1" ht="12.75" customHeight="1" x14ac:dyDescent="0.2">
      <c r="A26" s="61" t="s">
        <v>18</v>
      </c>
      <c r="B26" s="62"/>
      <c r="C26" s="62"/>
      <c r="D26" s="75">
        <v>114220856</v>
      </c>
      <c r="E26" s="169">
        <v>112355442</v>
      </c>
      <c r="F26" s="169">
        <v>112355442</v>
      </c>
      <c r="G26" s="146">
        <f>F46</f>
        <v>114213342</v>
      </c>
      <c r="H26" s="63">
        <f>G46</f>
        <v>117327762</v>
      </c>
      <c r="I26" s="63">
        <f>H46</f>
        <v>119908195</v>
      </c>
      <c r="J26" s="53"/>
      <c r="IF26" s="43"/>
      <c r="IG26" s="43"/>
      <c r="IH26" s="43"/>
      <c r="II26" s="43"/>
      <c r="IJ26" s="43"/>
      <c r="IK26" s="43"/>
      <c r="IL26" s="43"/>
      <c r="IM26" s="43"/>
      <c r="IN26" s="43"/>
      <c r="IO26" s="43"/>
    </row>
    <row r="27" spans="1:249" s="42" customFormat="1" ht="12.75" customHeight="1" thickBot="1" x14ac:dyDescent="0.25">
      <c r="A27" s="20" t="s">
        <v>101</v>
      </c>
      <c r="B27" s="21"/>
      <c r="C27" s="21"/>
      <c r="D27" s="64">
        <f t="shared" ref="D27" si="4">D25-D26</f>
        <v>-7779000</v>
      </c>
      <c r="E27" s="170">
        <f>E25-E26</f>
        <v>1661090</v>
      </c>
      <c r="F27" s="170">
        <f>F25-F26</f>
        <v>1151200</v>
      </c>
      <c r="G27" s="147">
        <f>G25-G26</f>
        <v>2679780</v>
      </c>
      <c r="H27" s="65">
        <f>H25-H26</f>
        <v>2778660</v>
      </c>
      <c r="I27" s="65">
        <f>I25-I26</f>
        <v>3460847</v>
      </c>
      <c r="IF27" s="43"/>
      <c r="IG27" s="43"/>
      <c r="IH27" s="43"/>
      <c r="II27" s="43"/>
      <c r="IJ27" s="43"/>
      <c r="IK27" s="43"/>
      <c r="IL27" s="43"/>
      <c r="IM27" s="43"/>
      <c r="IN27" s="43"/>
      <c r="IO27" s="43"/>
    </row>
    <row r="28" spans="1:249" s="42" customFormat="1" ht="12.75" customHeight="1" thickTop="1" x14ac:dyDescent="0.2">
      <c r="A28" s="20"/>
      <c r="B28" s="21"/>
      <c r="C28" s="21"/>
      <c r="D28" s="66"/>
      <c r="E28" s="171"/>
      <c r="F28" s="171"/>
      <c r="G28" s="148"/>
      <c r="H28" s="67"/>
      <c r="I28" s="67"/>
      <c r="J28" s="68"/>
      <c r="IF28" s="43"/>
      <c r="IG28" s="43"/>
      <c r="IH28" s="43"/>
      <c r="II28" s="43"/>
      <c r="IJ28" s="43"/>
      <c r="IK28" s="43"/>
      <c r="IL28" s="43"/>
      <c r="IM28" s="43"/>
      <c r="IN28" s="43"/>
      <c r="IO28" s="43"/>
    </row>
    <row r="29" spans="1:249" s="69" customFormat="1" ht="12.75" customHeight="1" x14ac:dyDescent="0.2">
      <c r="A29" s="20" t="s">
        <v>19</v>
      </c>
      <c r="B29" s="21"/>
      <c r="C29" s="21"/>
      <c r="D29" s="50"/>
      <c r="E29" s="167"/>
      <c r="F29" s="167"/>
      <c r="G29" s="139"/>
      <c r="H29" s="51"/>
      <c r="I29" s="51"/>
    </row>
    <row r="30" spans="1:249" s="42" customFormat="1" ht="12.75" customHeight="1" x14ac:dyDescent="0.2">
      <c r="A30" s="47" t="s">
        <v>20</v>
      </c>
      <c r="B30" s="48"/>
      <c r="C30" s="48"/>
      <c r="D30" s="50"/>
      <c r="E30" s="167">
        <v>148000</v>
      </c>
      <c r="F30" s="167">
        <v>148000</v>
      </c>
      <c r="G30" s="139">
        <f>G23-E23</f>
        <v>44000</v>
      </c>
      <c r="H30" s="51">
        <f>H23-G23</f>
        <v>23000</v>
      </c>
      <c r="I30" s="51">
        <f>I23-H23</f>
        <v>21000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s="69" customFormat="1" ht="12.75" customHeight="1" x14ac:dyDescent="0.2">
      <c r="A31" s="70" t="s">
        <v>49</v>
      </c>
      <c r="B31" s="48"/>
      <c r="C31" s="48"/>
      <c r="D31" s="50"/>
      <c r="E31" s="167">
        <v>0</v>
      </c>
      <c r="F31" s="167">
        <v>-557100</v>
      </c>
      <c r="G31" s="139">
        <f>ROUND((G21-E21)/3,-3)</f>
        <v>62000</v>
      </c>
      <c r="H31" s="51">
        <f>ROUND((H21-G21)/3,-3)</f>
        <v>98000</v>
      </c>
      <c r="I31" s="51">
        <f>ROUND((I21-H21)/3,-3)</f>
        <v>92000</v>
      </c>
    </row>
    <row r="32" spans="1:249" s="69" customFormat="1" ht="12.75" customHeight="1" x14ac:dyDescent="0.2">
      <c r="A32" s="47" t="s">
        <v>21</v>
      </c>
      <c r="B32" s="48"/>
      <c r="C32" s="48"/>
      <c r="D32" s="50"/>
      <c r="E32" s="167">
        <v>1002000</v>
      </c>
      <c r="F32" s="167">
        <v>1002000</v>
      </c>
      <c r="G32" s="139">
        <f>540000/12*7</f>
        <v>315000</v>
      </c>
      <c r="H32" s="51">
        <v>550000</v>
      </c>
      <c r="I32" s="51">
        <v>560000</v>
      </c>
    </row>
    <row r="33" spans="1:249" s="69" customFormat="1" ht="12.75" customHeight="1" x14ac:dyDescent="0.2">
      <c r="A33" s="70" t="s">
        <v>22</v>
      </c>
      <c r="B33" s="48"/>
      <c r="C33" s="48"/>
      <c r="D33" s="50"/>
      <c r="E33" s="167">
        <v>1160000</v>
      </c>
      <c r="F33" s="167">
        <v>1160000</v>
      </c>
      <c r="G33" s="139"/>
      <c r="H33" s="51"/>
      <c r="I33" s="51"/>
    </row>
    <row r="34" spans="1:249" s="69" customFormat="1" ht="12.75" customHeight="1" x14ac:dyDescent="0.2">
      <c r="A34" s="178" t="s">
        <v>50</v>
      </c>
      <c r="B34" s="203"/>
      <c r="C34" s="203"/>
      <c r="D34" s="180"/>
      <c r="E34" s="181">
        <v>0</v>
      </c>
      <c r="F34" s="181">
        <v>0</v>
      </c>
      <c r="G34" s="157">
        <v>750000</v>
      </c>
      <c r="H34" s="157">
        <v>750000</v>
      </c>
      <c r="I34" s="157">
        <v>750000</v>
      </c>
    </row>
    <row r="35" spans="1:249" s="69" customFormat="1" ht="12.75" customHeight="1" x14ac:dyDescent="0.2">
      <c r="A35" s="70" t="s">
        <v>51</v>
      </c>
      <c r="B35" s="21"/>
      <c r="C35" s="21"/>
      <c r="D35" s="50"/>
      <c r="E35" s="167">
        <v>0</v>
      </c>
      <c r="F35" s="167">
        <v>0</v>
      </c>
      <c r="G35" s="139">
        <v>100000</v>
      </c>
      <c r="H35" s="51">
        <v>100000</v>
      </c>
      <c r="I35" s="51">
        <v>100000</v>
      </c>
    </row>
    <row r="36" spans="1:249" s="69" customFormat="1" ht="12.75" customHeight="1" x14ac:dyDescent="0.2">
      <c r="A36" s="178" t="s">
        <v>89</v>
      </c>
      <c r="B36" s="179"/>
      <c r="C36" s="179"/>
      <c r="D36" s="180"/>
      <c r="E36" s="181"/>
      <c r="F36" s="181"/>
      <c r="G36" s="157">
        <f>405700</f>
        <v>405700</v>
      </c>
      <c r="H36" s="156">
        <v>248733</v>
      </c>
      <c r="I36" s="156">
        <v>370883</v>
      </c>
    </row>
    <row r="37" spans="1:249" s="69" customFormat="1" ht="12.75" customHeight="1" x14ac:dyDescent="0.2">
      <c r="A37" s="178" t="s">
        <v>90</v>
      </c>
      <c r="B37" s="179"/>
      <c r="C37" s="179"/>
      <c r="D37" s="180"/>
      <c r="E37" s="181"/>
      <c r="F37" s="181"/>
      <c r="G37" s="157">
        <f>768000</f>
        <v>768000</v>
      </c>
      <c r="H37" s="156"/>
      <c r="I37" s="156"/>
    </row>
    <row r="38" spans="1:249" s="69" customFormat="1" ht="12.75" customHeight="1" x14ac:dyDescent="0.2">
      <c r="A38" s="178" t="s">
        <v>109</v>
      </c>
      <c r="B38" s="179"/>
      <c r="C38" s="179"/>
      <c r="D38" s="180"/>
      <c r="E38" s="181"/>
      <c r="F38" s="181"/>
      <c r="G38" s="157"/>
      <c r="H38" s="157">
        <v>500000</v>
      </c>
      <c r="I38" s="156">
        <v>500000</v>
      </c>
    </row>
    <row r="39" spans="1:249" s="69" customFormat="1" ht="12.75" customHeight="1" x14ac:dyDescent="0.2">
      <c r="A39" s="178" t="s">
        <v>86</v>
      </c>
      <c r="B39" s="179"/>
      <c r="C39" s="179"/>
      <c r="D39" s="180"/>
      <c r="E39" s="181"/>
      <c r="F39" s="181"/>
      <c r="G39" s="157">
        <v>300000</v>
      </c>
      <c r="H39" s="156">
        <v>300000</v>
      </c>
      <c r="I39" s="156">
        <v>300000</v>
      </c>
    </row>
    <row r="40" spans="1:249" s="69" customFormat="1" ht="12.75" customHeight="1" x14ac:dyDescent="0.2">
      <c r="A40" s="70" t="s">
        <v>88</v>
      </c>
      <c r="B40" s="21"/>
      <c r="C40" s="21"/>
      <c r="D40" s="50"/>
      <c r="E40" s="167"/>
      <c r="F40" s="167"/>
      <c r="G40" s="139">
        <f>G16</f>
        <v>369720</v>
      </c>
      <c r="H40" s="51">
        <f t="shared" ref="H40:I40" si="5">H16</f>
        <v>310700</v>
      </c>
      <c r="I40" s="51">
        <f t="shared" si="5"/>
        <v>323180</v>
      </c>
    </row>
    <row r="41" spans="1:249" s="69" customFormat="1" ht="12.75" customHeight="1" x14ac:dyDescent="0.2">
      <c r="A41" s="70" t="s">
        <v>67</v>
      </c>
      <c r="B41" s="21"/>
      <c r="C41" s="21"/>
      <c r="D41" s="50"/>
      <c r="E41" s="167"/>
      <c r="F41" s="167"/>
      <c r="G41" s="139"/>
      <c r="H41" s="182">
        <v>-300000</v>
      </c>
      <c r="I41" s="182">
        <v>-1200000</v>
      </c>
      <c r="J41" s="69" t="s">
        <v>69</v>
      </c>
    </row>
    <row r="42" spans="1:249" s="69" customFormat="1" ht="12.75" customHeight="1" x14ac:dyDescent="0.2">
      <c r="A42" s="70" t="s">
        <v>68</v>
      </c>
      <c r="B42" s="21"/>
      <c r="C42" s="21"/>
      <c r="D42" s="50"/>
      <c r="E42" s="167"/>
      <c r="F42" s="167"/>
      <c r="G42" s="139"/>
      <c r="H42" s="182"/>
      <c r="I42" s="182">
        <v>-497000</v>
      </c>
    </row>
    <row r="43" spans="1:249" s="92" customFormat="1" ht="12.75" customHeight="1" x14ac:dyDescent="0.2">
      <c r="A43" s="117" t="s">
        <v>54</v>
      </c>
      <c r="B43" s="96"/>
      <c r="C43" s="96"/>
      <c r="D43" s="95"/>
      <c r="E43" s="105">
        <v>67000</v>
      </c>
      <c r="F43" s="105">
        <v>67000</v>
      </c>
      <c r="G43" s="128"/>
      <c r="H43" s="90"/>
      <c r="I43" s="90"/>
      <c r="J43" s="54"/>
      <c r="K43" s="91"/>
      <c r="L43" s="54"/>
      <c r="M43" s="91"/>
      <c r="N43" s="54"/>
      <c r="O43" s="54"/>
    </row>
    <row r="44" spans="1:249" s="92" customFormat="1" ht="12.75" customHeight="1" x14ac:dyDescent="0.2">
      <c r="A44" s="117" t="s">
        <v>26</v>
      </c>
      <c r="B44" s="96"/>
      <c r="C44" s="96"/>
      <c r="D44" s="95"/>
      <c r="E44" s="105">
        <v>38000</v>
      </c>
      <c r="F44" s="105">
        <v>38000</v>
      </c>
      <c r="G44" s="155"/>
      <c r="H44" s="90"/>
      <c r="I44" s="90"/>
      <c r="J44" s="54"/>
      <c r="K44" s="91"/>
      <c r="L44" s="54"/>
      <c r="M44" s="91"/>
      <c r="N44" s="54"/>
      <c r="O44" s="54"/>
    </row>
    <row r="45" spans="1:249" s="42" customFormat="1" ht="12.75" customHeight="1" x14ac:dyDescent="0.2">
      <c r="A45" s="20" t="s">
        <v>23</v>
      </c>
      <c r="B45" s="21"/>
      <c r="C45" s="21"/>
      <c r="D45" s="71">
        <f>SUM(D31:D44)</f>
        <v>0</v>
      </c>
      <c r="E45" s="172">
        <f>SUM(E30:E44)</f>
        <v>2415000</v>
      </c>
      <c r="F45" s="172">
        <f>SUM(F30:F44)</f>
        <v>1857900</v>
      </c>
      <c r="G45" s="149">
        <f>SUM(G30:G44)</f>
        <v>3114420</v>
      </c>
      <c r="H45" s="72">
        <f>SUM(H30:H44)</f>
        <v>2580433</v>
      </c>
      <c r="I45" s="72">
        <f>SUM(I30:I44)</f>
        <v>1320063</v>
      </c>
      <c r="IF45" s="43"/>
      <c r="IG45" s="43"/>
      <c r="IH45" s="43"/>
      <c r="II45" s="43"/>
      <c r="IJ45" s="43"/>
      <c r="IK45" s="43"/>
      <c r="IL45" s="43"/>
      <c r="IM45" s="43"/>
      <c r="IN45" s="43"/>
      <c r="IO45" s="43"/>
    </row>
    <row r="46" spans="1:249" s="69" customFormat="1" ht="12.75" customHeight="1" x14ac:dyDescent="0.2">
      <c r="A46" s="73" t="s">
        <v>45</v>
      </c>
      <c r="B46" s="74"/>
      <c r="C46" s="74"/>
      <c r="D46" s="75">
        <v>114220856</v>
      </c>
      <c r="E46" s="173">
        <f>E26+E45</f>
        <v>114770442</v>
      </c>
      <c r="F46" s="173">
        <f>F26+F45</f>
        <v>114213342</v>
      </c>
      <c r="G46" s="150">
        <f>G26+G45</f>
        <v>117327762</v>
      </c>
      <c r="H46" s="76">
        <f>H26+H45</f>
        <v>119908195</v>
      </c>
      <c r="I46" s="76">
        <f>I26+I45</f>
        <v>121228258</v>
      </c>
      <c r="J46" s="42"/>
      <c r="K46" s="42"/>
      <c r="L46" s="42"/>
      <c r="M46" s="42"/>
      <c r="N46" s="42"/>
      <c r="O46" s="42"/>
    </row>
    <row r="47" spans="1:249" s="42" customFormat="1" ht="12.75" customHeight="1" x14ac:dyDescent="0.2">
      <c r="A47" s="77"/>
      <c r="B47" s="78"/>
      <c r="C47" s="78"/>
      <c r="D47" s="79"/>
      <c r="E47" s="174"/>
      <c r="F47" s="174"/>
      <c r="G47" s="151"/>
      <c r="H47" s="80"/>
      <c r="I47" s="80"/>
      <c r="IF47" s="43"/>
      <c r="IG47" s="43"/>
      <c r="IH47" s="43"/>
      <c r="II47" s="43"/>
      <c r="IJ47" s="43"/>
      <c r="IK47" s="43"/>
      <c r="IL47" s="43"/>
      <c r="IM47" s="43"/>
      <c r="IN47" s="43"/>
      <c r="IO47" s="43"/>
    </row>
    <row r="48" spans="1:249" s="69" customFormat="1" ht="12.75" customHeight="1" thickBot="1" x14ac:dyDescent="0.25">
      <c r="A48" s="81" t="s">
        <v>24</v>
      </c>
      <c r="B48" s="82"/>
      <c r="C48" s="82"/>
      <c r="D48" s="83">
        <f t="shared" ref="D48:I48" si="6">D25-D46</f>
        <v>-7779000</v>
      </c>
      <c r="E48" s="175">
        <f t="shared" si="6"/>
        <v>-753910</v>
      </c>
      <c r="F48" s="175">
        <f t="shared" si="6"/>
        <v>-706700</v>
      </c>
      <c r="G48" s="84">
        <f t="shared" si="6"/>
        <v>-434640</v>
      </c>
      <c r="H48" s="84">
        <f t="shared" si="6"/>
        <v>198227</v>
      </c>
      <c r="I48" s="84">
        <f t="shared" si="6"/>
        <v>2140784</v>
      </c>
      <c r="J48" s="42"/>
      <c r="K48" s="85"/>
      <c r="L48" s="42"/>
      <c r="M48" s="42"/>
      <c r="N48" s="42"/>
      <c r="O48" s="42"/>
    </row>
    <row r="49" spans="1:249" s="92" customFormat="1" ht="12.75" customHeight="1" thickTop="1" x14ac:dyDescent="0.2">
      <c r="A49" s="86"/>
      <c r="B49" s="87"/>
      <c r="C49" s="88"/>
      <c r="D49" s="89"/>
      <c r="E49" s="105"/>
      <c r="F49" s="214"/>
      <c r="G49" s="129"/>
      <c r="H49" s="90"/>
      <c r="I49" s="90"/>
      <c r="J49" s="91"/>
      <c r="K49" s="54"/>
      <c r="L49" s="91"/>
      <c r="M49" s="54"/>
      <c r="N49" s="54"/>
    </row>
    <row r="50" spans="1:249" s="69" customFormat="1" ht="12.75" customHeight="1" x14ac:dyDescent="0.2">
      <c r="A50" s="93" t="s">
        <v>59</v>
      </c>
      <c r="B50" s="87"/>
      <c r="C50" s="87"/>
      <c r="D50" s="95"/>
      <c r="E50" s="105"/>
      <c r="F50" s="214"/>
      <c r="G50" s="129"/>
      <c r="H50" s="90"/>
      <c r="I50" s="90"/>
      <c r="J50" s="42"/>
      <c r="K50" s="68"/>
      <c r="L50" s="42"/>
      <c r="M50" s="68"/>
      <c r="N50" s="42"/>
      <c r="O50" s="42"/>
    </row>
    <row r="51" spans="1:249" s="92" customFormat="1" ht="12.75" customHeight="1" x14ac:dyDescent="0.2">
      <c r="A51" s="208" t="s">
        <v>25</v>
      </c>
      <c r="B51" s="204"/>
      <c r="C51" s="204"/>
      <c r="D51" s="205"/>
      <c r="E51" s="206">
        <v>300000</v>
      </c>
      <c r="F51" s="206">
        <v>300000</v>
      </c>
      <c r="G51" s="207" t="s">
        <v>106</v>
      </c>
      <c r="H51" s="207"/>
      <c r="I51" s="207"/>
      <c r="J51" s="54"/>
      <c r="K51" s="91"/>
      <c r="L51" s="54"/>
      <c r="M51" s="91"/>
      <c r="N51" s="54"/>
      <c r="O51" s="54"/>
    </row>
    <row r="52" spans="1:249" s="92" customFormat="1" ht="12.75" customHeight="1" x14ac:dyDescent="0.2">
      <c r="A52" s="208" t="s">
        <v>28</v>
      </c>
      <c r="B52" s="204"/>
      <c r="C52" s="204"/>
      <c r="D52" s="205"/>
      <c r="E52" s="206">
        <v>300000</v>
      </c>
      <c r="F52" s="206">
        <v>300000</v>
      </c>
      <c r="G52" s="207">
        <v>200000</v>
      </c>
      <c r="H52" s="207"/>
      <c r="I52" s="207"/>
      <c r="J52" s="54"/>
      <c r="K52" s="91"/>
      <c r="L52" s="54"/>
      <c r="M52" s="91"/>
      <c r="N52" s="54"/>
      <c r="O52" s="54"/>
    </row>
    <row r="53" spans="1:249" s="92" customFormat="1" ht="12.75" customHeight="1" x14ac:dyDescent="0.2">
      <c r="A53" s="208" t="s">
        <v>42</v>
      </c>
      <c r="B53" s="204"/>
      <c r="C53" s="204"/>
      <c r="D53" s="205"/>
      <c r="E53" s="206">
        <v>115000</v>
      </c>
      <c r="F53" s="206">
        <v>115000</v>
      </c>
      <c r="G53" s="207">
        <v>100000</v>
      </c>
      <c r="H53" s="207"/>
      <c r="I53" s="207"/>
      <c r="J53" s="54"/>
      <c r="K53" s="91"/>
      <c r="L53" s="54"/>
      <c r="M53" s="91"/>
      <c r="N53" s="54"/>
      <c r="O53" s="54"/>
    </row>
    <row r="54" spans="1:249" s="92" customFormat="1" ht="12.75" customHeight="1" x14ac:dyDescent="0.2">
      <c r="A54" s="208" t="s">
        <v>27</v>
      </c>
      <c r="B54" s="204"/>
      <c r="C54" s="204"/>
      <c r="D54" s="205"/>
      <c r="E54" s="206">
        <v>500000</v>
      </c>
      <c r="F54" s="206">
        <v>500000</v>
      </c>
      <c r="G54" s="207">
        <v>80920</v>
      </c>
      <c r="H54" s="207">
        <v>202300</v>
      </c>
      <c r="I54" s="207">
        <v>187850</v>
      </c>
      <c r="J54" s="54"/>
      <c r="K54" s="91"/>
      <c r="L54" s="54"/>
      <c r="M54" s="91"/>
      <c r="N54" s="54"/>
      <c r="O54" s="54"/>
    </row>
    <row r="55" spans="1:249" s="92" customFormat="1" ht="12.75" customHeight="1" x14ac:dyDescent="0.2">
      <c r="A55" s="208" t="s">
        <v>29</v>
      </c>
      <c r="B55" s="204"/>
      <c r="C55" s="204"/>
      <c r="D55" s="205"/>
      <c r="E55" s="206">
        <v>406000</v>
      </c>
      <c r="F55" s="206">
        <v>406000</v>
      </c>
      <c r="G55" s="207"/>
      <c r="H55" s="207"/>
      <c r="I55" s="207"/>
      <c r="J55" s="54"/>
      <c r="K55" s="91"/>
      <c r="L55" s="54"/>
      <c r="M55" s="91"/>
      <c r="N55" s="54"/>
      <c r="O55" s="54"/>
    </row>
    <row r="56" spans="1:249" s="92" customFormat="1" ht="12.75" customHeight="1" x14ac:dyDescent="0.2">
      <c r="A56" s="86"/>
      <c r="B56" s="96"/>
      <c r="C56" s="96"/>
      <c r="D56" s="95"/>
      <c r="E56" s="105"/>
      <c r="F56" s="105"/>
      <c r="G56" s="129"/>
      <c r="H56" s="90"/>
      <c r="I56" s="90"/>
      <c r="J56" s="54"/>
      <c r="K56" s="91"/>
      <c r="L56" s="54"/>
      <c r="M56" s="91"/>
      <c r="N56" s="54"/>
      <c r="O56" s="54"/>
    </row>
    <row r="57" spans="1:249" s="69" customFormat="1" ht="12.75" customHeight="1" x14ac:dyDescent="0.2">
      <c r="A57" s="93" t="s">
        <v>60</v>
      </c>
      <c r="B57" s="87"/>
      <c r="C57" s="87"/>
      <c r="D57" s="97"/>
      <c r="E57" s="176">
        <f>SUM(E51:E56)</f>
        <v>1621000</v>
      </c>
      <c r="F57" s="176">
        <f>SUM(F51:F56)</f>
        <v>1621000</v>
      </c>
      <c r="G57" s="152">
        <f>SUM(G51:G56)</f>
        <v>380920</v>
      </c>
      <c r="H57" s="98">
        <f>SUM(H51:H56)</f>
        <v>202300</v>
      </c>
      <c r="I57" s="98">
        <f>SUM(I51:I56)</f>
        <v>187850</v>
      </c>
      <c r="J57" s="99"/>
      <c r="K57" s="100"/>
      <c r="L57" s="99"/>
      <c r="M57" s="100"/>
      <c r="N57" s="99"/>
      <c r="O57" s="99"/>
    </row>
    <row r="58" spans="1:249" s="69" customFormat="1" ht="12.75" customHeight="1" x14ac:dyDescent="0.2">
      <c r="A58" s="93"/>
      <c r="B58" s="87"/>
      <c r="C58" s="87"/>
      <c r="D58" s="95"/>
      <c r="E58" s="105"/>
      <c r="F58" s="105"/>
      <c r="G58" s="129"/>
      <c r="H58" s="90"/>
      <c r="I58" s="90"/>
      <c r="J58" s="42"/>
      <c r="K58" s="68"/>
      <c r="L58" s="42"/>
      <c r="M58" s="68"/>
      <c r="N58" s="42"/>
      <c r="O58" s="42"/>
    </row>
    <row r="59" spans="1:249" s="42" customFormat="1" ht="12.75" customHeight="1" thickBot="1" x14ac:dyDescent="0.25">
      <c r="A59" s="101" t="s">
        <v>30</v>
      </c>
      <c r="B59" s="102"/>
      <c r="C59" s="102"/>
      <c r="D59" s="103">
        <f t="shared" ref="D59:I59" si="7">D48-D57</f>
        <v>-7779000</v>
      </c>
      <c r="E59" s="103">
        <f t="shared" si="7"/>
        <v>-2374910</v>
      </c>
      <c r="F59" s="103">
        <f t="shared" si="7"/>
        <v>-2327700</v>
      </c>
      <c r="G59" s="153">
        <f t="shared" si="7"/>
        <v>-815560</v>
      </c>
      <c r="H59" s="104">
        <f t="shared" si="7"/>
        <v>-4073</v>
      </c>
      <c r="I59" s="104">
        <f t="shared" si="7"/>
        <v>1952934</v>
      </c>
      <c r="IF59" s="43"/>
      <c r="IG59" s="43"/>
      <c r="IH59" s="43"/>
      <c r="II59" s="43"/>
      <c r="IJ59" s="43"/>
      <c r="IK59" s="43"/>
      <c r="IL59" s="43"/>
      <c r="IM59" s="43"/>
      <c r="IN59" s="43"/>
      <c r="IO59" s="43"/>
    </row>
    <row r="60" spans="1:249" s="92" customFormat="1" ht="12.75" customHeight="1" thickTop="1" x14ac:dyDescent="0.2">
      <c r="A60" s="86"/>
      <c r="B60" s="87"/>
      <c r="C60" s="94"/>
      <c r="D60" s="105"/>
      <c r="E60" s="105"/>
      <c r="F60" s="105"/>
      <c r="G60" s="129"/>
      <c r="H60" s="90"/>
      <c r="I60" s="90"/>
      <c r="J60" s="91"/>
      <c r="K60" s="54"/>
      <c r="L60" s="91"/>
      <c r="M60" s="54"/>
      <c r="N60" s="54"/>
    </row>
    <row r="61" spans="1:249" s="92" customFormat="1" ht="12.75" customHeight="1" x14ac:dyDescent="0.2">
      <c r="A61" s="86" t="s">
        <v>52</v>
      </c>
      <c r="B61" s="87"/>
      <c r="C61" s="94"/>
      <c r="D61" s="105"/>
      <c r="E61" s="105">
        <v>9145975</v>
      </c>
      <c r="F61" s="105">
        <v>9145975</v>
      </c>
      <c r="G61" s="129">
        <f>E62</f>
        <v>6771065</v>
      </c>
      <c r="H61" s="90">
        <f>G62</f>
        <v>5955505</v>
      </c>
      <c r="I61" s="90">
        <f>H62</f>
        <v>5951432</v>
      </c>
      <c r="J61" s="91"/>
      <c r="K61" s="54"/>
      <c r="L61" s="91"/>
      <c r="M61" s="54"/>
      <c r="N61" s="54"/>
    </row>
    <row r="62" spans="1:249" s="92" customFormat="1" ht="12.75" customHeight="1" thickBot="1" x14ac:dyDescent="0.25">
      <c r="A62" s="106" t="s">
        <v>95</v>
      </c>
      <c r="B62" s="107"/>
      <c r="C62" s="108"/>
      <c r="D62" s="109"/>
      <c r="E62" s="109">
        <f>E59+E61</f>
        <v>6771065</v>
      </c>
      <c r="F62" s="109">
        <f>F59+F61</f>
        <v>6818275</v>
      </c>
      <c r="G62" s="110">
        <f>G59+G61</f>
        <v>5955505</v>
      </c>
      <c r="H62" s="110">
        <f>H59+H61</f>
        <v>5951432</v>
      </c>
      <c r="I62" s="110">
        <f>I59+I61</f>
        <v>7904366</v>
      </c>
      <c r="J62" s="91"/>
      <c r="K62" s="54"/>
      <c r="L62" s="91"/>
      <c r="M62" s="54"/>
      <c r="N62" s="54"/>
    </row>
    <row r="63" spans="1:249" s="69" customFormat="1" ht="15.75" thickTop="1" x14ac:dyDescent="0.2">
      <c r="A63" s="111" t="s">
        <v>96</v>
      </c>
      <c r="B63" s="111"/>
      <c r="C63" s="111"/>
      <c r="D63" s="112"/>
      <c r="E63" s="177">
        <f>E62/E46</f>
        <v>5.8996592519875456E-2</v>
      </c>
      <c r="F63" s="215">
        <f>F62/F46</f>
        <v>5.9697710272763056E-2</v>
      </c>
      <c r="G63" s="158">
        <f>G62/G46</f>
        <v>5.0759555100011199E-2</v>
      </c>
      <c r="H63" s="158">
        <f>H62/H46</f>
        <v>4.9633238161912119E-2</v>
      </c>
      <c r="I63" s="158">
        <f>I62/I46</f>
        <v>6.520233921038443E-2</v>
      </c>
      <c r="J63" s="42"/>
      <c r="K63" s="85"/>
      <c r="L63" s="42"/>
      <c r="M63" s="42"/>
      <c r="N63" s="42"/>
      <c r="O63" s="42"/>
    </row>
    <row r="64" spans="1:249" s="69" customFormat="1" ht="15" x14ac:dyDescent="0.2">
      <c r="A64" s="21" t="s">
        <v>83</v>
      </c>
      <c r="B64" s="21"/>
      <c r="C64" s="21"/>
      <c r="D64" s="197"/>
      <c r="E64" s="105">
        <f>E46*0.05</f>
        <v>5738522.1000000006</v>
      </c>
      <c r="F64" s="217">
        <f>F46*0.05</f>
        <v>5710667.1000000006</v>
      </c>
      <c r="G64" s="198">
        <f>G46*0.05</f>
        <v>5866388.1000000006</v>
      </c>
      <c r="H64" s="198">
        <f>H46*0.05</f>
        <v>5995409.75</v>
      </c>
      <c r="I64" s="198">
        <f>I46*0.05</f>
        <v>6061412.9000000004</v>
      </c>
      <c r="J64" s="42"/>
      <c r="K64" s="85"/>
      <c r="L64" s="42"/>
      <c r="M64" s="42"/>
      <c r="N64" s="42"/>
      <c r="O64" s="42"/>
    </row>
    <row r="65" spans="1:249" s="69" customFormat="1" ht="15.75" thickBot="1" x14ac:dyDescent="0.25">
      <c r="A65" s="199" t="s">
        <v>84</v>
      </c>
      <c r="B65" s="199"/>
      <c r="C65" s="199"/>
      <c r="D65" s="200"/>
      <c r="E65" s="202">
        <f>E62-E64</f>
        <v>1032542.8999999994</v>
      </c>
      <c r="F65" s="201">
        <f>F62-F64</f>
        <v>1107607.8999999994</v>
      </c>
      <c r="G65" s="201">
        <f>G62-G64</f>
        <v>89116.899999999441</v>
      </c>
      <c r="H65" s="201">
        <f t="shared" ref="H65:I65" si="8">H62-H64</f>
        <v>-43977.75</v>
      </c>
      <c r="I65" s="201">
        <f t="shared" si="8"/>
        <v>1842953.0999999996</v>
      </c>
      <c r="J65" s="42"/>
      <c r="K65" s="85"/>
      <c r="L65" s="42"/>
      <c r="M65" s="42"/>
      <c r="N65" s="42"/>
      <c r="O65" s="42"/>
    </row>
    <row r="66" spans="1:249" s="42" customFormat="1" ht="14.25" customHeight="1" thickTop="1" x14ac:dyDescent="0.2">
      <c r="A66" s="123" t="s">
        <v>43</v>
      </c>
      <c r="B66" s="123"/>
      <c r="C66" s="123"/>
      <c r="D66" s="123"/>
      <c r="E66" s="123"/>
      <c r="F66" s="123"/>
      <c r="G66" s="123"/>
      <c r="H66" s="123"/>
      <c r="I66" s="123"/>
      <c r="IF66" s="43"/>
      <c r="IG66" s="43"/>
      <c r="IH66" s="43"/>
      <c r="II66" s="43"/>
      <c r="IJ66" s="43"/>
      <c r="IK66" s="43"/>
      <c r="IL66" s="43"/>
      <c r="IM66" s="43"/>
      <c r="IN66" s="43"/>
      <c r="IO66" s="43"/>
    </row>
    <row r="67" spans="1:249" s="113" customFormat="1" ht="15" x14ac:dyDescent="0.2">
      <c r="A67" s="122" t="s">
        <v>53</v>
      </c>
      <c r="B67" s="122"/>
      <c r="C67" s="122"/>
      <c r="D67" s="122"/>
      <c r="E67" s="122"/>
      <c r="F67" s="122"/>
      <c r="G67" s="122"/>
      <c r="H67" s="12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3"/>
      <c r="IG67" s="43"/>
      <c r="IH67" s="43"/>
      <c r="II67" s="43"/>
      <c r="IJ67" s="43"/>
      <c r="IK67" s="43"/>
      <c r="IL67" s="43"/>
      <c r="IM67" s="43"/>
      <c r="IN67" s="43"/>
      <c r="IO67" s="43"/>
    </row>
    <row r="68" spans="1:249" s="42" customFormat="1" ht="14.25" customHeight="1" x14ac:dyDescent="0.2">
      <c r="A68" s="123" t="s">
        <v>61</v>
      </c>
      <c r="B68" s="123"/>
      <c r="C68" s="123"/>
      <c r="D68" s="123"/>
      <c r="E68" s="123"/>
      <c r="F68" s="123"/>
      <c r="G68" s="123"/>
      <c r="H68" s="123"/>
      <c r="I68" s="123"/>
      <c r="IF68" s="43"/>
      <c r="IG68" s="43"/>
      <c r="IH68" s="43"/>
      <c r="II68" s="43"/>
      <c r="IJ68" s="43"/>
      <c r="IK68" s="43"/>
      <c r="IL68" s="43"/>
      <c r="IM68" s="43"/>
      <c r="IN68" s="43"/>
      <c r="IO68" s="43"/>
    </row>
    <row r="69" spans="1:249" s="113" customFormat="1" ht="14.25" customHeight="1" x14ac:dyDescent="0.2">
      <c r="A69" s="122" t="s">
        <v>55</v>
      </c>
      <c r="B69" s="122"/>
      <c r="C69" s="122"/>
      <c r="D69" s="122"/>
      <c r="E69" s="122"/>
      <c r="F69" s="122"/>
      <c r="G69" s="122"/>
      <c r="H69" s="122"/>
      <c r="I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</row>
    <row r="70" spans="1:249" s="43" customFormat="1" ht="14.25" customHeight="1" x14ac:dyDescent="0.2">
      <c r="A70" s="132" t="s">
        <v>56</v>
      </c>
      <c r="B70" s="133"/>
      <c r="C70" s="134"/>
      <c r="D70" s="135"/>
      <c r="E70" s="130"/>
      <c r="F70" s="130"/>
      <c r="G70" s="130"/>
      <c r="H70" s="130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</row>
    <row r="71" spans="1:249" s="43" customFormat="1" ht="14.25" customHeight="1" x14ac:dyDescent="0.2">
      <c r="A71" s="42" t="s">
        <v>70</v>
      </c>
      <c r="B71" s="42"/>
      <c r="C71" s="42"/>
      <c r="D71" s="13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</row>
    <row r="72" spans="1:249" s="43" customFormat="1" ht="14.25" customHeight="1" x14ac:dyDescent="0.2">
      <c r="A72" s="132" t="s">
        <v>57</v>
      </c>
      <c r="B72" s="42"/>
      <c r="C72" s="42"/>
      <c r="D72" s="13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</row>
    <row r="73" spans="1:249" s="43" customFormat="1" x14ac:dyDescent="0.2">
      <c r="A73" s="380" t="s">
        <v>58</v>
      </c>
      <c r="B73" s="380"/>
      <c r="C73" s="380"/>
      <c r="D73" s="380"/>
      <c r="E73" s="380"/>
      <c r="F73" s="380"/>
      <c r="G73" s="380"/>
      <c r="H73" s="380"/>
      <c r="I73" s="380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</row>
    <row r="74" spans="1:249" x14ac:dyDescent="0.2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249" ht="12.75" customHeight="1" x14ac:dyDescent="0.2">
      <c r="A75" s="120" t="s">
        <v>31</v>
      </c>
      <c r="B75" s="118"/>
      <c r="C75" s="118"/>
      <c r="D75" s="119"/>
      <c r="E75" s="118"/>
      <c r="F75" s="118"/>
      <c r="G75" s="118"/>
      <c r="H75" s="118"/>
      <c r="I75" s="118"/>
    </row>
    <row r="76" spans="1:249" ht="12.75" customHeight="1" x14ac:dyDescent="0.2">
      <c r="A76" s="5" t="s">
        <v>32</v>
      </c>
      <c r="B76" s="118"/>
      <c r="C76" s="118"/>
      <c r="D76" s="119"/>
      <c r="E76" s="118"/>
      <c r="F76" s="118"/>
      <c r="G76" s="118"/>
      <c r="H76" s="118"/>
      <c r="I76" s="118"/>
    </row>
    <row r="77" spans="1:249" ht="12.75" customHeight="1" x14ac:dyDescent="0.2">
      <c r="A77" s="5" t="s">
        <v>33</v>
      </c>
      <c r="B77" s="118"/>
      <c r="C77" s="118"/>
      <c r="D77" s="119"/>
      <c r="E77" s="118"/>
      <c r="F77" s="118"/>
      <c r="G77" s="118"/>
      <c r="H77" s="118"/>
      <c r="I77" s="118"/>
    </row>
    <row r="78" spans="1:249" ht="12.75" customHeight="1" x14ac:dyDescent="0.2">
      <c r="A78" s="5" t="s">
        <v>34</v>
      </c>
      <c r="B78" s="118"/>
      <c r="C78" s="118"/>
      <c r="D78" s="119"/>
      <c r="E78" s="118"/>
      <c r="F78" s="118"/>
      <c r="G78" s="118"/>
      <c r="H78" s="118"/>
      <c r="I78" s="118"/>
    </row>
    <row r="79" spans="1:249" ht="12.75" customHeight="1" x14ac:dyDescent="0.2">
      <c r="A79" s="5" t="s">
        <v>35</v>
      </c>
      <c r="B79" s="118"/>
      <c r="C79" s="118"/>
      <c r="D79" s="119"/>
      <c r="E79" s="118"/>
      <c r="F79" s="118"/>
      <c r="G79" s="118"/>
      <c r="H79" s="118"/>
      <c r="I79" s="118"/>
    </row>
    <row r="80" spans="1:249" ht="12.75" customHeight="1" x14ac:dyDescent="0.2">
      <c r="A80" s="5" t="s">
        <v>36</v>
      </c>
      <c r="B80" s="118"/>
      <c r="C80" s="118"/>
      <c r="D80" s="119"/>
      <c r="E80" s="118"/>
      <c r="F80" s="118"/>
      <c r="G80" s="118"/>
      <c r="H80" s="118"/>
      <c r="I80" s="118"/>
    </row>
    <row r="81" spans="1:9" ht="12.75" customHeight="1" x14ac:dyDescent="0.2">
      <c r="A81" s="5" t="s">
        <v>37</v>
      </c>
      <c r="B81" s="118"/>
      <c r="C81" s="118"/>
      <c r="D81" s="119"/>
      <c r="E81" s="118"/>
      <c r="F81" s="118"/>
      <c r="G81" s="118"/>
      <c r="H81" s="118"/>
      <c r="I81" s="118"/>
    </row>
    <row r="82" spans="1:9" x14ac:dyDescent="0.2">
      <c r="D82" s="116"/>
    </row>
    <row r="83" spans="1:9" x14ac:dyDescent="0.2">
      <c r="A83" s="114" t="s">
        <v>38</v>
      </c>
      <c r="D83" s="116"/>
    </row>
    <row r="84" spans="1:9" x14ac:dyDescent="0.2">
      <c r="A84" s="19" t="s">
        <v>39</v>
      </c>
      <c r="D84" s="116"/>
    </row>
    <row r="85" spans="1:9" x14ac:dyDescent="0.2">
      <c r="A85" s="19" t="s">
        <v>40</v>
      </c>
      <c r="D85" s="116"/>
    </row>
    <row r="86" spans="1:9" x14ac:dyDescent="0.2">
      <c r="A86" s="19" t="s">
        <v>41</v>
      </c>
      <c r="D86" s="116"/>
    </row>
  </sheetData>
  <sheetProtection selectLockedCells="1" selectUnlockedCells="1"/>
  <mergeCells count="1">
    <mergeCell ref="A73:I73"/>
  </mergeCells>
  <printOptions horizontalCentered="1"/>
  <pageMargins left="0.7" right="0.7" top="0.75" bottom="0.75" header="0.3" footer="0.3"/>
  <pageSetup scale="59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6"/>
  <sheetViews>
    <sheetView showGridLines="0" zoomScaleNormal="100" workbookViewId="0">
      <selection activeCell="F4" sqref="F4:I4"/>
    </sheetView>
  </sheetViews>
  <sheetFormatPr defaultRowHeight="12.75" x14ac:dyDescent="0.2"/>
  <cols>
    <col min="1" max="1" width="48" style="5" customWidth="1"/>
    <col min="2" max="2" width="13.42578125" style="5" customWidth="1"/>
    <col min="3" max="3" width="2.85546875" style="5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9" width="12.28515625" style="5" bestFit="1" customWidth="1"/>
    <col min="10" max="10" width="11.28515625" style="5" bestFit="1" customWidth="1"/>
    <col min="11" max="11" width="17.7109375" style="5" bestFit="1" customWidth="1"/>
    <col min="12" max="12" width="9.140625" style="5"/>
    <col min="13" max="13" width="18" style="5" bestFit="1" customWidth="1"/>
    <col min="14" max="239" width="9.140625" style="5"/>
  </cols>
  <sheetData>
    <row r="1" spans="1:249" ht="57" customHeight="1" x14ac:dyDescent="0.2">
      <c r="A1" s="1" t="s">
        <v>93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</row>
    <row r="2" spans="1:249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</row>
    <row r="3" spans="1:249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1.0580000000000001</v>
      </c>
      <c r="H3" s="14">
        <f>G3</f>
        <v>1.0580000000000001</v>
      </c>
      <c r="I3" s="14">
        <f>H3</f>
        <v>1.0580000000000001</v>
      </c>
    </row>
    <row r="4" spans="1:249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9" t="s">
        <v>99</v>
      </c>
    </row>
    <row r="5" spans="1:249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7100</v>
      </c>
      <c r="H5" s="17">
        <v>7200</v>
      </c>
      <c r="I5" s="17">
        <v>7300</v>
      </c>
      <c r="J5" s="223">
        <f>I5-F5</f>
        <v>300</v>
      </c>
      <c r="K5" s="225" t="s">
        <v>103</v>
      </c>
    </row>
    <row r="6" spans="1:249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223">
        <f t="shared" ref="J6:J8" si="0">I6-F6</f>
        <v>-150</v>
      </c>
      <c r="K6" s="225" t="s">
        <v>104</v>
      </c>
    </row>
    <row r="7" spans="1:249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200</v>
      </c>
      <c r="H7" s="17">
        <v>220</v>
      </c>
      <c r="I7" s="17">
        <v>235</v>
      </c>
      <c r="J7" s="223">
        <f t="shared" si="0"/>
        <v>38</v>
      </c>
      <c r="K7" s="225" t="s">
        <v>105</v>
      </c>
    </row>
    <row r="8" spans="1:249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>SUM(E5:E7)</f>
        <v>7647</v>
      </c>
      <c r="F8" s="163">
        <f>SUM(F5:F7)</f>
        <v>7647</v>
      </c>
      <c r="G8" s="140">
        <f>SUM(G5:G7)</f>
        <v>7680</v>
      </c>
      <c r="H8" s="23">
        <f>SUM(H5:H7)</f>
        <v>7760</v>
      </c>
      <c r="I8" s="23">
        <f>SUM(I5:I7)</f>
        <v>7835</v>
      </c>
      <c r="J8" s="224">
        <f t="shared" si="0"/>
        <v>188</v>
      </c>
      <c r="K8" s="226" t="s">
        <v>100</v>
      </c>
    </row>
    <row r="9" spans="1:249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33</v>
      </c>
      <c r="H9" s="26">
        <f>H8-G8</f>
        <v>80</v>
      </c>
      <c r="I9" s="26">
        <f>I8-H8</f>
        <v>75</v>
      </c>
      <c r="J9" s="220"/>
      <c r="K9" s="221"/>
    </row>
    <row r="10" spans="1:249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</row>
    <row r="11" spans="1:249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8128</v>
      </c>
      <c r="H11" s="31">
        <v>8209</v>
      </c>
      <c r="I11" s="31">
        <v>8268</v>
      </c>
      <c r="J11" s="222"/>
    </row>
    <row r="12" spans="1:249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124"/>
      <c r="K12" s="126"/>
    </row>
    <row r="13" spans="1:249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25"/>
      <c r="K13" s="126"/>
    </row>
    <row r="14" spans="1:249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F19</f>
        <v>60415210</v>
      </c>
      <c r="H14" s="37">
        <f>G19</f>
        <v>63742690</v>
      </c>
      <c r="I14" s="37">
        <f>H19</f>
        <v>66538990</v>
      </c>
      <c r="IF14"/>
      <c r="IG14"/>
      <c r="IH14"/>
      <c r="II14"/>
      <c r="IJ14"/>
      <c r="IK14"/>
      <c r="IL14"/>
      <c r="IM14"/>
      <c r="IN14"/>
      <c r="IO14"/>
    </row>
    <row r="15" spans="1:249" s="42" customFormat="1" ht="12.75" customHeight="1" x14ac:dyDescent="0.2">
      <c r="A15" s="38" t="s">
        <v>91</v>
      </c>
      <c r="B15" s="39"/>
      <c r="C15" s="39"/>
      <c r="D15" s="40"/>
      <c r="E15" s="166"/>
      <c r="F15" s="166"/>
      <c r="G15" s="128">
        <f>142200000*0.026*0.8</f>
        <v>2957760</v>
      </c>
      <c r="H15" s="41">
        <f>119500000*0.026*0.8</f>
        <v>2485600</v>
      </c>
      <c r="I15" s="41">
        <f>124300000*0.026*0.8</f>
        <v>2585440</v>
      </c>
      <c r="J15" s="42" t="s">
        <v>82</v>
      </c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142200000*0.026*0.1</f>
        <v>369720</v>
      </c>
      <c r="H16" s="41">
        <f>119500000*0.026*0.1</f>
        <v>310700</v>
      </c>
      <c r="I16" s="41">
        <f>124300000*0.026*0.1</f>
        <v>323180</v>
      </c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41"/>
      <c r="I17" s="41"/>
      <c r="J17" s="42" t="s">
        <v>63</v>
      </c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/>
      <c r="H18" s="41"/>
      <c r="I18" s="41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s="42" customFormat="1" ht="12.75" customHeight="1" x14ac:dyDescent="0.2">
      <c r="A19" s="44" t="s">
        <v>11</v>
      </c>
      <c r="B19" s="45"/>
      <c r="C19" s="45"/>
      <c r="D19" s="22">
        <f t="shared" ref="D19:I19" si="2">SUM(D14:D18)</f>
        <v>50066510</v>
      </c>
      <c r="E19" s="163">
        <f t="shared" si="2"/>
        <v>60925100</v>
      </c>
      <c r="F19" s="163">
        <f t="shared" si="2"/>
        <v>60415210</v>
      </c>
      <c r="G19" s="144">
        <f t="shared" si="2"/>
        <v>63742690</v>
      </c>
      <c r="H19" s="46">
        <f t="shared" si="2"/>
        <v>66538990</v>
      </c>
      <c r="I19" s="46">
        <f t="shared" si="2"/>
        <v>69447610</v>
      </c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s="42" customFormat="1" ht="12.75" customHeight="1" x14ac:dyDescent="0.2">
      <c r="A20" s="47" t="s">
        <v>12</v>
      </c>
      <c r="B20" s="48"/>
      <c r="C20" s="48"/>
      <c r="D20" s="22"/>
      <c r="E20" s="163"/>
      <c r="F20" s="163"/>
      <c r="G20" s="144"/>
      <c r="H20" s="46"/>
      <c r="I20" s="46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s="42" customFormat="1" ht="12.75" customHeight="1" x14ac:dyDescent="0.2">
      <c r="A21" s="49" t="s">
        <v>13</v>
      </c>
      <c r="B21" s="39"/>
      <c r="C21" s="39"/>
      <c r="D21" s="50">
        <v>46623000</v>
      </c>
      <c r="E21" s="167">
        <v>43577000</v>
      </c>
      <c r="F21" s="167">
        <v>43577000</v>
      </c>
      <c r="G21" s="139">
        <v>43793000</v>
      </c>
      <c r="H21" s="51">
        <v>44149000</v>
      </c>
      <c r="I21" s="51">
        <v>44480000</v>
      </c>
      <c r="J21" s="196"/>
      <c r="K21" s="5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249" s="42" customFormat="1" ht="12.75" customHeight="1" x14ac:dyDescent="0.2">
      <c r="A22" s="49" t="s">
        <v>14</v>
      </c>
      <c r="B22" s="39"/>
      <c r="C22" s="39"/>
      <c r="D22" s="50">
        <v>2139000</v>
      </c>
      <c r="E22" s="167">
        <v>2139000</v>
      </c>
      <c r="F22" s="167">
        <v>2139000</v>
      </c>
      <c r="G22" s="139">
        <v>2017000</v>
      </c>
      <c r="H22" s="51">
        <v>2222000</v>
      </c>
      <c r="I22" s="51">
        <v>2370000</v>
      </c>
      <c r="J22" s="53"/>
      <c r="K22" s="53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s="42" customFormat="1" ht="12.75" customHeight="1" x14ac:dyDescent="0.2">
      <c r="A23" s="49" t="s">
        <v>15</v>
      </c>
      <c r="B23" s="39"/>
      <c r="C23" s="39"/>
      <c r="D23" s="50">
        <v>2251000</v>
      </c>
      <c r="E23" s="167">
        <v>2369000</v>
      </c>
      <c r="F23" s="167">
        <v>2369000</v>
      </c>
      <c r="G23" s="139">
        <v>2415000</v>
      </c>
      <c r="H23" s="51">
        <v>2440000</v>
      </c>
      <c r="I23" s="51">
        <v>2465000</v>
      </c>
      <c r="K23" s="5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s="42" customFormat="1" ht="12.75" customHeight="1" x14ac:dyDescent="0.2">
      <c r="A24" s="47" t="s">
        <v>16</v>
      </c>
      <c r="B24" s="48"/>
      <c r="C24" s="48"/>
      <c r="D24" s="55">
        <f>4882846+454500+25000</f>
        <v>5362346</v>
      </c>
      <c r="E24" s="168">
        <v>5006432</v>
      </c>
      <c r="F24" s="168">
        <v>5006432</v>
      </c>
      <c r="G24" s="145">
        <f>E24</f>
        <v>5006432</v>
      </c>
      <c r="H24" s="56">
        <f>G24</f>
        <v>5006432</v>
      </c>
      <c r="I24" s="56">
        <f>H24</f>
        <v>5006432</v>
      </c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s="42" customFormat="1" ht="12.75" customHeight="1" x14ac:dyDescent="0.2">
      <c r="A25" s="57" t="s">
        <v>17</v>
      </c>
      <c r="B25" s="58"/>
      <c r="C25" s="58"/>
      <c r="D25" s="59">
        <f>SUM(D17:D24)</f>
        <v>106441856</v>
      </c>
      <c r="E25" s="59">
        <f t="shared" ref="E25:I25" si="3">SUM(E19:E24)</f>
        <v>114016532</v>
      </c>
      <c r="F25" s="59">
        <f t="shared" si="3"/>
        <v>113506642</v>
      </c>
      <c r="G25" s="60">
        <f t="shared" si="3"/>
        <v>116974122</v>
      </c>
      <c r="H25" s="60">
        <f t="shared" si="3"/>
        <v>120356422</v>
      </c>
      <c r="I25" s="60">
        <f t="shared" si="3"/>
        <v>123769042</v>
      </c>
      <c r="J25" s="127"/>
      <c r="K25" s="127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s="42" customFormat="1" ht="12.75" customHeight="1" x14ac:dyDescent="0.2">
      <c r="A26" s="61" t="s">
        <v>18</v>
      </c>
      <c r="B26" s="62"/>
      <c r="C26" s="62"/>
      <c r="D26" s="75">
        <v>114220856</v>
      </c>
      <c r="E26" s="169">
        <v>112355442</v>
      </c>
      <c r="F26" s="169">
        <v>112355442</v>
      </c>
      <c r="G26" s="146">
        <f>F46</f>
        <v>114213342</v>
      </c>
      <c r="H26" s="63">
        <f>G46</f>
        <v>117339762</v>
      </c>
      <c r="I26" s="63">
        <f>H46</f>
        <v>119948011</v>
      </c>
      <c r="J26" s="53"/>
      <c r="IF26" s="43"/>
      <c r="IG26" s="43"/>
      <c r="IH26" s="43"/>
      <c r="II26" s="43"/>
      <c r="IJ26" s="43"/>
      <c r="IK26" s="43"/>
      <c r="IL26" s="43"/>
      <c r="IM26" s="43"/>
      <c r="IN26" s="43"/>
      <c r="IO26" s="43"/>
    </row>
    <row r="27" spans="1:249" s="42" customFormat="1" ht="12.75" customHeight="1" thickBot="1" x14ac:dyDescent="0.25">
      <c r="A27" s="20" t="s">
        <v>101</v>
      </c>
      <c r="B27" s="21"/>
      <c r="C27" s="21"/>
      <c r="D27" s="64">
        <f t="shared" ref="D27" si="4">D25-D26</f>
        <v>-7779000</v>
      </c>
      <c r="E27" s="170">
        <f>E25-E26</f>
        <v>1661090</v>
      </c>
      <c r="F27" s="170">
        <f>F25-F26</f>
        <v>1151200</v>
      </c>
      <c r="G27" s="147">
        <f>G25-G26</f>
        <v>2760780</v>
      </c>
      <c r="H27" s="65">
        <f>H25-H26</f>
        <v>3016660</v>
      </c>
      <c r="I27" s="65">
        <f>I25-I26</f>
        <v>3821031</v>
      </c>
      <c r="IF27" s="43"/>
      <c r="IG27" s="43"/>
      <c r="IH27" s="43"/>
      <c r="II27" s="43"/>
      <c r="IJ27" s="43"/>
      <c r="IK27" s="43"/>
      <c r="IL27" s="43"/>
      <c r="IM27" s="43"/>
      <c r="IN27" s="43"/>
      <c r="IO27" s="43"/>
    </row>
    <row r="28" spans="1:249" s="42" customFormat="1" ht="12.75" customHeight="1" thickTop="1" x14ac:dyDescent="0.2">
      <c r="A28" s="20"/>
      <c r="B28" s="21"/>
      <c r="C28" s="21"/>
      <c r="D28" s="66"/>
      <c r="E28" s="171"/>
      <c r="F28" s="171"/>
      <c r="G28" s="148"/>
      <c r="H28" s="67"/>
      <c r="I28" s="67"/>
      <c r="J28" s="68"/>
      <c r="IF28" s="43"/>
      <c r="IG28" s="43"/>
      <c r="IH28" s="43"/>
      <c r="II28" s="43"/>
      <c r="IJ28" s="43"/>
      <c r="IK28" s="43"/>
      <c r="IL28" s="43"/>
      <c r="IM28" s="43"/>
      <c r="IN28" s="43"/>
      <c r="IO28" s="43"/>
    </row>
    <row r="29" spans="1:249" s="69" customFormat="1" ht="12.75" customHeight="1" x14ac:dyDescent="0.2">
      <c r="A29" s="20" t="s">
        <v>19</v>
      </c>
      <c r="B29" s="21"/>
      <c r="C29" s="21"/>
      <c r="D29" s="50"/>
      <c r="E29" s="167"/>
      <c r="F29" s="167"/>
      <c r="G29" s="139"/>
      <c r="H29" s="51"/>
      <c r="I29" s="51"/>
    </row>
    <row r="30" spans="1:249" s="42" customFormat="1" ht="12.75" customHeight="1" x14ac:dyDescent="0.2">
      <c r="A30" s="47" t="s">
        <v>20</v>
      </c>
      <c r="B30" s="48"/>
      <c r="C30" s="48"/>
      <c r="D30" s="50"/>
      <c r="E30" s="167">
        <v>148000</v>
      </c>
      <c r="F30" s="167">
        <v>148000</v>
      </c>
      <c r="G30" s="139">
        <f>G23-E23</f>
        <v>46000</v>
      </c>
      <c r="H30" s="51">
        <f>H23-G23</f>
        <v>25000</v>
      </c>
      <c r="I30" s="51">
        <f>I23-H23</f>
        <v>25000</v>
      </c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s="69" customFormat="1" ht="12.75" customHeight="1" x14ac:dyDescent="0.2">
      <c r="A31" s="70" t="s">
        <v>49</v>
      </c>
      <c r="B31" s="48"/>
      <c r="C31" s="48"/>
      <c r="D31" s="50"/>
      <c r="E31" s="167">
        <v>0</v>
      </c>
      <c r="F31" s="167">
        <v>-557100</v>
      </c>
      <c r="G31" s="139">
        <f>ROUND((G21-E21)/3,-3)</f>
        <v>72000</v>
      </c>
      <c r="H31" s="51">
        <f>ROUND((H21-G21)/3,-3)</f>
        <v>119000</v>
      </c>
      <c r="I31" s="51">
        <f>ROUND((I21-H21)/3,-3)</f>
        <v>110000</v>
      </c>
    </row>
    <row r="32" spans="1:249" s="69" customFormat="1" ht="12.75" customHeight="1" x14ac:dyDescent="0.2">
      <c r="A32" s="47" t="s">
        <v>21</v>
      </c>
      <c r="B32" s="48"/>
      <c r="C32" s="48"/>
      <c r="D32" s="50"/>
      <c r="E32" s="167">
        <v>1002000</v>
      </c>
      <c r="F32" s="167">
        <v>1002000</v>
      </c>
      <c r="G32" s="139">
        <f>540000/12*7</f>
        <v>315000</v>
      </c>
      <c r="H32" s="51">
        <v>550000</v>
      </c>
      <c r="I32" s="51">
        <v>560000</v>
      </c>
    </row>
    <row r="33" spans="1:249" s="69" customFormat="1" ht="12.75" customHeight="1" x14ac:dyDescent="0.2">
      <c r="A33" s="70" t="s">
        <v>22</v>
      </c>
      <c r="B33" s="48"/>
      <c r="C33" s="48"/>
      <c r="D33" s="50"/>
      <c r="E33" s="167">
        <v>1160000</v>
      </c>
      <c r="F33" s="167">
        <v>1160000</v>
      </c>
      <c r="G33" s="139"/>
      <c r="H33" s="51"/>
      <c r="I33" s="51"/>
    </row>
    <row r="34" spans="1:249" s="69" customFormat="1" ht="12.75" customHeight="1" x14ac:dyDescent="0.2">
      <c r="A34" s="178" t="s">
        <v>50</v>
      </c>
      <c r="B34" s="203"/>
      <c r="C34" s="203"/>
      <c r="D34" s="180"/>
      <c r="E34" s="181">
        <v>0</v>
      </c>
      <c r="F34" s="181">
        <v>0</v>
      </c>
      <c r="G34" s="157">
        <v>750000</v>
      </c>
      <c r="H34" s="157">
        <v>750000</v>
      </c>
      <c r="I34" s="157">
        <v>750000</v>
      </c>
    </row>
    <row r="35" spans="1:249" s="69" customFormat="1" ht="12.75" customHeight="1" x14ac:dyDescent="0.2">
      <c r="A35" s="70" t="s">
        <v>51</v>
      </c>
      <c r="B35" s="21"/>
      <c r="C35" s="21"/>
      <c r="D35" s="50"/>
      <c r="E35" s="167">
        <v>0</v>
      </c>
      <c r="F35" s="167">
        <v>0</v>
      </c>
      <c r="G35" s="139">
        <v>100000</v>
      </c>
      <c r="H35" s="51">
        <v>100000</v>
      </c>
      <c r="I35" s="51">
        <v>100000</v>
      </c>
    </row>
    <row r="36" spans="1:249" s="69" customFormat="1" ht="12.75" customHeight="1" x14ac:dyDescent="0.2">
      <c r="A36" s="178" t="s">
        <v>89</v>
      </c>
      <c r="B36" s="179"/>
      <c r="C36" s="179"/>
      <c r="D36" s="180"/>
      <c r="E36" s="181"/>
      <c r="F36" s="181"/>
      <c r="G36" s="157">
        <f>405700</f>
        <v>405700</v>
      </c>
      <c r="H36" s="156">
        <v>253549</v>
      </c>
      <c r="I36" s="156">
        <v>385333</v>
      </c>
    </row>
    <row r="37" spans="1:249" s="69" customFormat="1" ht="12.75" customHeight="1" x14ac:dyDescent="0.2">
      <c r="A37" s="178" t="s">
        <v>90</v>
      </c>
      <c r="B37" s="179"/>
      <c r="C37" s="179"/>
      <c r="D37" s="180"/>
      <c r="E37" s="181"/>
      <c r="F37" s="181"/>
      <c r="G37" s="157">
        <f>768000</f>
        <v>768000</v>
      </c>
      <c r="H37" s="156"/>
      <c r="I37" s="156"/>
    </row>
    <row r="38" spans="1:249" s="69" customFormat="1" ht="12.75" customHeight="1" x14ac:dyDescent="0.2">
      <c r="A38" s="178" t="s">
        <v>109</v>
      </c>
      <c r="B38" s="179"/>
      <c r="C38" s="179"/>
      <c r="D38" s="180"/>
      <c r="E38" s="181"/>
      <c r="F38" s="181"/>
      <c r="G38" s="157"/>
      <c r="H38" s="157">
        <v>500000</v>
      </c>
      <c r="I38" s="156">
        <v>500000</v>
      </c>
    </row>
    <row r="39" spans="1:249" s="69" customFormat="1" ht="12.75" customHeight="1" x14ac:dyDescent="0.2">
      <c r="A39" s="178" t="s">
        <v>86</v>
      </c>
      <c r="B39" s="179"/>
      <c r="C39" s="179"/>
      <c r="D39" s="180"/>
      <c r="E39" s="181"/>
      <c r="F39" s="181"/>
      <c r="G39" s="157">
        <v>300000</v>
      </c>
      <c r="H39" s="156">
        <v>300000</v>
      </c>
      <c r="I39" s="156">
        <v>300000</v>
      </c>
    </row>
    <row r="40" spans="1:249" s="69" customFormat="1" ht="12.75" customHeight="1" x14ac:dyDescent="0.2">
      <c r="A40" s="70" t="s">
        <v>88</v>
      </c>
      <c r="B40" s="21"/>
      <c r="C40" s="21"/>
      <c r="D40" s="50"/>
      <c r="E40" s="167"/>
      <c r="F40" s="167"/>
      <c r="G40" s="139">
        <f>G16</f>
        <v>369720</v>
      </c>
      <c r="H40" s="51">
        <f t="shared" ref="H40:I40" si="5">H16</f>
        <v>310700</v>
      </c>
      <c r="I40" s="51">
        <f t="shared" si="5"/>
        <v>323180</v>
      </c>
    </row>
    <row r="41" spans="1:249" s="69" customFormat="1" ht="12.75" customHeight="1" x14ac:dyDescent="0.2">
      <c r="A41" s="70" t="s">
        <v>67</v>
      </c>
      <c r="B41" s="21"/>
      <c r="C41" s="21"/>
      <c r="D41" s="50"/>
      <c r="E41" s="167"/>
      <c r="F41" s="167"/>
      <c r="G41" s="139"/>
      <c r="H41" s="182">
        <v>-300000</v>
      </c>
      <c r="I41" s="182">
        <v>-1200000</v>
      </c>
      <c r="J41" s="69" t="s">
        <v>69</v>
      </c>
    </row>
    <row r="42" spans="1:249" s="69" customFormat="1" ht="12.75" customHeight="1" x14ac:dyDescent="0.2">
      <c r="A42" s="70" t="s">
        <v>68</v>
      </c>
      <c r="B42" s="21"/>
      <c r="C42" s="21"/>
      <c r="D42" s="50"/>
      <c r="E42" s="167"/>
      <c r="F42" s="167"/>
      <c r="G42" s="139"/>
      <c r="H42" s="182"/>
      <c r="I42" s="182">
        <v>-497000</v>
      </c>
    </row>
    <row r="43" spans="1:249" s="92" customFormat="1" ht="12.75" customHeight="1" x14ac:dyDescent="0.2">
      <c r="A43" s="117" t="s">
        <v>54</v>
      </c>
      <c r="B43" s="96"/>
      <c r="C43" s="96"/>
      <c r="D43" s="95"/>
      <c r="E43" s="105">
        <v>67000</v>
      </c>
      <c r="F43" s="105">
        <v>67000</v>
      </c>
      <c r="G43" s="128"/>
      <c r="H43" s="90"/>
      <c r="I43" s="90"/>
      <c r="J43" s="54"/>
      <c r="K43" s="91"/>
      <c r="L43" s="54"/>
      <c r="M43" s="91"/>
      <c r="N43" s="54"/>
      <c r="O43" s="54"/>
    </row>
    <row r="44" spans="1:249" s="92" customFormat="1" ht="12.75" customHeight="1" x14ac:dyDescent="0.2">
      <c r="A44" s="117" t="s">
        <v>26</v>
      </c>
      <c r="B44" s="96"/>
      <c r="C44" s="96"/>
      <c r="D44" s="95"/>
      <c r="E44" s="105">
        <v>38000</v>
      </c>
      <c r="F44" s="105">
        <v>38000</v>
      </c>
      <c r="G44" s="155"/>
      <c r="H44" s="90"/>
      <c r="I44" s="90"/>
      <c r="J44" s="54"/>
      <c r="K44" s="91"/>
      <c r="L44" s="54"/>
      <c r="M44" s="91"/>
      <c r="N44" s="54"/>
      <c r="O44" s="54"/>
    </row>
    <row r="45" spans="1:249" s="42" customFormat="1" ht="12.75" customHeight="1" x14ac:dyDescent="0.2">
      <c r="A45" s="20" t="s">
        <v>23</v>
      </c>
      <c r="B45" s="21"/>
      <c r="C45" s="21"/>
      <c r="D45" s="71">
        <f>SUM(D31:D44)</f>
        <v>0</v>
      </c>
      <c r="E45" s="172">
        <f>SUM(E30:E44)</f>
        <v>2415000</v>
      </c>
      <c r="F45" s="172">
        <f>SUM(F30:F44)</f>
        <v>1857900</v>
      </c>
      <c r="G45" s="149">
        <f>SUM(G30:G44)</f>
        <v>3126420</v>
      </c>
      <c r="H45" s="72">
        <f>SUM(H30:H44)</f>
        <v>2608249</v>
      </c>
      <c r="I45" s="72">
        <f>SUM(I30:I44)</f>
        <v>1356513</v>
      </c>
      <c r="IF45" s="43"/>
      <c r="IG45" s="43"/>
      <c r="IH45" s="43"/>
      <c r="II45" s="43"/>
      <c r="IJ45" s="43"/>
      <c r="IK45" s="43"/>
      <c r="IL45" s="43"/>
      <c r="IM45" s="43"/>
      <c r="IN45" s="43"/>
      <c r="IO45" s="43"/>
    </row>
    <row r="46" spans="1:249" s="69" customFormat="1" ht="12.75" customHeight="1" x14ac:dyDescent="0.2">
      <c r="A46" s="73" t="s">
        <v>45</v>
      </c>
      <c r="B46" s="74"/>
      <c r="C46" s="74"/>
      <c r="D46" s="75">
        <v>114220856</v>
      </c>
      <c r="E46" s="173">
        <f>E26+E45</f>
        <v>114770442</v>
      </c>
      <c r="F46" s="173">
        <f>F26+F45</f>
        <v>114213342</v>
      </c>
      <c r="G46" s="150">
        <f>G26+G45</f>
        <v>117339762</v>
      </c>
      <c r="H46" s="76">
        <f>H26+H45</f>
        <v>119948011</v>
      </c>
      <c r="I46" s="76">
        <f>I26+I45</f>
        <v>121304524</v>
      </c>
      <c r="J46" s="42"/>
      <c r="K46" s="42"/>
      <c r="L46" s="42"/>
      <c r="M46" s="42"/>
      <c r="N46" s="42"/>
      <c r="O46" s="42"/>
    </row>
    <row r="47" spans="1:249" s="42" customFormat="1" ht="12.75" customHeight="1" x14ac:dyDescent="0.2">
      <c r="A47" s="77"/>
      <c r="B47" s="78"/>
      <c r="C47" s="78"/>
      <c r="D47" s="79"/>
      <c r="E47" s="174"/>
      <c r="F47" s="174"/>
      <c r="G47" s="151"/>
      <c r="H47" s="80"/>
      <c r="I47" s="80"/>
      <c r="IF47" s="43"/>
      <c r="IG47" s="43"/>
      <c r="IH47" s="43"/>
      <c r="II47" s="43"/>
      <c r="IJ47" s="43"/>
      <c r="IK47" s="43"/>
      <c r="IL47" s="43"/>
      <c r="IM47" s="43"/>
      <c r="IN47" s="43"/>
      <c r="IO47" s="43"/>
    </row>
    <row r="48" spans="1:249" s="69" customFormat="1" ht="12.75" customHeight="1" thickBot="1" x14ac:dyDescent="0.25">
      <c r="A48" s="81" t="s">
        <v>24</v>
      </c>
      <c r="B48" s="82"/>
      <c r="C48" s="82"/>
      <c r="D48" s="83">
        <f t="shared" ref="D48:I48" si="6">D25-D46</f>
        <v>-7779000</v>
      </c>
      <c r="E48" s="175">
        <f t="shared" si="6"/>
        <v>-753910</v>
      </c>
      <c r="F48" s="175">
        <f t="shared" si="6"/>
        <v>-706700</v>
      </c>
      <c r="G48" s="84">
        <f t="shared" si="6"/>
        <v>-365640</v>
      </c>
      <c r="H48" s="84">
        <f t="shared" si="6"/>
        <v>408411</v>
      </c>
      <c r="I48" s="84">
        <f t="shared" si="6"/>
        <v>2464518</v>
      </c>
      <c r="J48" s="42"/>
      <c r="K48" s="85"/>
      <c r="L48" s="42"/>
      <c r="M48" s="42"/>
      <c r="N48" s="42"/>
      <c r="O48" s="42"/>
    </row>
    <row r="49" spans="1:249" s="92" customFormat="1" ht="12.75" customHeight="1" thickTop="1" x14ac:dyDescent="0.2">
      <c r="A49" s="86"/>
      <c r="B49" s="87"/>
      <c r="C49" s="88"/>
      <c r="D49" s="89"/>
      <c r="E49" s="105"/>
      <c r="F49" s="214"/>
      <c r="G49" s="129"/>
      <c r="H49" s="90"/>
      <c r="I49" s="90"/>
      <c r="J49" s="91"/>
      <c r="K49" s="54"/>
      <c r="L49" s="91"/>
      <c r="M49" s="54"/>
      <c r="N49" s="54"/>
    </row>
    <row r="50" spans="1:249" s="69" customFormat="1" ht="12.75" customHeight="1" x14ac:dyDescent="0.2">
      <c r="A50" s="93" t="s">
        <v>59</v>
      </c>
      <c r="B50" s="87"/>
      <c r="C50" s="87"/>
      <c r="D50" s="95"/>
      <c r="E50" s="105"/>
      <c r="F50" s="214"/>
      <c r="G50" s="129"/>
      <c r="H50" s="90"/>
      <c r="I50" s="90"/>
      <c r="J50" s="42"/>
      <c r="K50" s="68"/>
      <c r="L50" s="42"/>
      <c r="M50" s="68"/>
      <c r="N50" s="42"/>
      <c r="O50" s="42"/>
    </row>
    <row r="51" spans="1:249" s="92" customFormat="1" ht="12.75" customHeight="1" x14ac:dyDescent="0.2">
      <c r="A51" s="208" t="s">
        <v>25</v>
      </c>
      <c r="B51" s="204"/>
      <c r="C51" s="204"/>
      <c r="D51" s="205"/>
      <c r="E51" s="206">
        <v>300000</v>
      </c>
      <c r="F51" s="206">
        <v>300000</v>
      </c>
      <c r="G51" s="207" t="s">
        <v>106</v>
      </c>
      <c r="H51" s="207"/>
      <c r="I51" s="207"/>
      <c r="J51" s="54"/>
      <c r="K51" s="91"/>
      <c r="L51" s="54"/>
      <c r="M51" s="91"/>
      <c r="N51" s="54"/>
      <c r="O51" s="54"/>
    </row>
    <row r="52" spans="1:249" s="92" customFormat="1" ht="12.75" customHeight="1" x14ac:dyDescent="0.2">
      <c r="A52" s="208" t="s">
        <v>28</v>
      </c>
      <c r="B52" s="204"/>
      <c r="C52" s="204"/>
      <c r="D52" s="205"/>
      <c r="E52" s="206">
        <v>300000</v>
      </c>
      <c r="F52" s="206">
        <v>300000</v>
      </c>
      <c r="G52" s="207">
        <v>200000</v>
      </c>
      <c r="H52" s="207"/>
      <c r="I52" s="207"/>
      <c r="J52" s="54"/>
      <c r="K52" s="91"/>
      <c r="L52" s="54"/>
      <c r="M52" s="91"/>
      <c r="N52" s="54"/>
      <c r="O52" s="54"/>
    </row>
    <row r="53" spans="1:249" s="92" customFormat="1" ht="12.75" customHeight="1" x14ac:dyDescent="0.2">
      <c r="A53" s="208" t="s">
        <v>42</v>
      </c>
      <c r="B53" s="204"/>
      <c r="C53" s="204"/>
      <c r="D53" s="205"/>
      <c r="E53" s="206">
        <v>115000</v>
      </c>
      <c r="F53" s="206">
        <v>115000</v>
      </c>
      <c r="G53" s="207">
        <v>100000</v>
      </c>
      <c r="H53" s="207"/>
      <c r="I53" s="207"/>
      <c r="J53" s="54"/>
      <c r="K53" s="91"/>
      <c r="L53" s="54"/>
      <c r="M53" s="91"/>
      <c r="N53" s="54"/>
      <c r="O53" s="54"/>
    </row>
    <row r="54" spans="1:249" s="92" customFormat="1" ht="12.75" customHeight="1" x14ac:dyDescent="0.2">
      <c r="A54" s="208" t="s">
        <v>27</v>
      </c>
      <c r="B54" s="204"/>
      <c r="C54" s="204"/>
      <c r="D54" s="205"/>
      <c r="E54" s="206">
        <v>500000</v>
      </c>
      <c r="F54" s="206">
        <v>500000</v>
      </c>
      <c r="G54" s="207">
        <v>95370</v>
      </c>
      <c r="H54" s="207">
        <v>231200</v>
      </c>
      <c r="I54" s="207">
        <v>216750</v>
      </c>
      <c r="J54" s="54"/>
      <c r="K54" s="91"/>
      <c r="L54" s="54"/>
      <c r="M54" s="91"/>
      <c r="N54" s="54"/>
      <c r="O54" s="54"/>
    </row>
    <row r="55" spans="1:249" s="92" customFormat="1" ht="12.75" customHeight="1" x14ac:dyDescent="0.2">
      <c r="A55" s="208" t="s">
        <v>29</v>
      </c>
      <c r="B55" s="204"/>
      <c r="C55" s="204"/>
      <c r="D55" s="205"/>
      <c r="E55" s="206">
        <v>406000</v>
      </c>
      <c r="F55" s="206">
        <v>406000</v>
      </c>
      <c r="G55" s="207"/>
      <c r="H55" s="207"/>
      <c r="I55" s="207"/>
      <c r="J55" s="54"/>
      <c r="K55" s="91"/>
      <c r="L55" s="54"/>
      <c r="M55" s="91"/>
      <c r="N55" s="54"/>
      <c r="O55" s="54"/>
    </row>
    <row r="56" spans="1:249" s="92" customFormat="1" ht="12.75" customHeight="1" x14ac:dyDescent="0.2">
      <c r="A56" s="86"/>
      <c r="B56" s="96"/>
      <c r="C56" s="96"/>
      <c r="D56" s="95"/>
      <c r="E56" s="105"/>
      <c r="F56" s="105"/>
      <c r="G56" s="129"/>
      <c r="H56" s="90"/>
      <c r="I56" s="90"/>
      <c r="J56" s="54"/>
      <c r="K56" s="91"/>
      <c r="L56" s="54"/>
      <c r="M56" s="91"/>
      <c r="N56" s="54"/>
      <c r="O56" s="54"/>
    </row>
    <row r="57" spans="1:249" s="69" customFormat="1" ht="12.75" customHeight="1" x14ac:dyDescent="0.2">
      <c r="A57" s="93" t="s">
        <v>60</v>
      </c>
      <c r="B57" s="87"/>
      <c r="C57" s="87"/>
      <c r="D57" s="97"/>
      <c r="E57" s="176">
        <f>SUM(E51:E56)</f>
        <v>1621000</v>
      </c>
      <c r="F57" s="176">
        <f>SUM(F51:F56)</f>
        <v>1621000</v>
      </c>
      <c r="G57" s="152">
        <f>SUM(G51:G56)</f>
        <v>395370</v>
      </c>
      <c r="H57" s="98">
        <f>SUM(H51:H56)</f>
        <v>231200</v>
      </c>
      <c r="I57" s="98">
        <f>SUM(I51:I56)</f>
        <v>216750</v>
      </c>
      <c r="J57" s="99"/>
      <c r="K57" s="100"/>
      <c r="L57" s="99"/>
      <c r="M57" s="100"/>
      <c r="N57" s="99"/>
      <c r="O57" s="99"/>
    </row>
    <row r="58" spans="1:249" s="69" customFormat="1" ht="12.75" customHeight="1" x14ac:dyDescent="0.2">
      <c r="A58" s="93"/>
      <c r="B58" s="87"/>
      <c r="C58" s="87"/>
      <c r="D58" s="95"/>
      <c r="E58" s="105"/>
      <c r="F58" s="105"/>
      <c r="G58" s="129"/>
      <c r="H58" s="90"/>
      <c r="I58" s="90"/>
      <c r="J58" s="42"/>
      <c r="K58" s="68"/>
      <c r="L58" s="42"/>
      <c r="M58" s="68"/>
      <c r="N58" s="42"/>
      <c r="O58" s="42"/>
    </row>
    <row r="59" spans="1:249" s="42" customFormat="1" ht="12.75" customHeight="1" thickBot="1" x14ac:dyDescent="0.25">
      <c r="A59" s="101" t="s">
        <v>30</v>
      </c>
      <c r="B59" s="102"/>
      <c r="C59" s="102"/>
      <c r="D59" s="103">
        <f t="shared" ref="D59:I59" si="7">D48-D57</f>
        <v>-7779000</v>
      </c>
      <c r="E59" s="103">
        <f t="shared" si="7"/>
        <v>-2374910</v>
      </c>
      <c r="F59" s="103">
        <f t="shared" si="7"/>
        <v>-2327700</v>
      </c>
      <c r="G59" s="153">
        <f t="shared" si="7"/>
        <v>-761010</v>
      </c>
      <c r="H59" s="104">
        <f t="shared" si="7"/>
        <v>177211</v>
      </c>
      <c r="I59" s="104">
        <f t="shared" si="7"/>
        <v>2247768</v>
      </c>
      <c r="IF59" s="43"/>
      <c r="IG59" s="43"/>
      <c r="IH59" s="43"/>
      <c r="II59" s="43"/>
      <c r="IJ59" s="43"/>
      <c r="IK59" s="43"/>
      <c r="IL59" s="43"/>
      <c r="IM59" s="43"/>
      <c r="IN59" s="43"/>
      <c r="IO59" s="43"/>
    </row>
    <row r="60" spans="1:249" s="92" customFormat="1" ht="12.75" customHeight="1" thickTop="1" x14ac:dyDescent="0.2">
      <c r="A60" s="86"/>
      <c r="B60" s="87"/>
      <c r="C60" s="94"/>
      <c r="D60" s="105"/>
      <c r="E60" s="105"/>
      <c r="F60" s="105"/>
      <c r="G60" s="129"/>
      <c r="H60" s="90"/>
      <c r="I60" s="90"/>
      <c r="J60" s="91"/>
      <c r="K60" s="54"/>
      <c r="L60" s="91"/>
      <c r="M60" s="54"/>
      <c r="N60" s="54"/>
    </row>
    <row r="61" spans="1:249" s="92" customFormat="1" ht="12.75" customHeight="1" x14ac:dyDescent="0.2">
      <c r="A61" s="86" t="s">
        <v>52</v>
      </c>
      <c r="B61" s="87"/>
      <c r="C61" s="94"/>
      <c r="D61" s="105"/>
      <c r="E61" s="105">
        <v>10331928</v>
      </c>
      <c r="F61" s="105">
        <v>9145975</v>
      </c>
      <c r="G61" s="129">
        <f>F62</f>
        <v>6818275</v>
      </c>
      <c r="H61" s="90">
        <f>G62</f>
        <v>6057265</v>
      </c>
      <c r="I61" s="90">
        <f>H62</f>
        <v>6234476</v>
      </c>
      <c r="J61" s="91"/>
      <c r="K61" s="54"/>
      <c r="L61" s="91"/>
      <c r="M61" s="54"/>
      <c r="N61" s="54"/>
    </row>
    <row r="62" spans="1:249" s="92" customFormat="1" ht="12.75" customHeight="1" thickBot="1" x14ac:dyDescent="0.25">
      <c r="A62" s="106" t="s">
        <v>95</v>
      </c>
      <c r="B62" s="107"/>
      <c r="C62" s="108"/>
      <c r="D62" s="109"/>
      <c r="E62" s="109">
        <f>E59+E61</f>
        <v>7957018</v>
      </c>
      <c r="F62" s="109">
        <f>F59+F61</f>
        <v>6818275</v>
      </c>
      <c r="G62" s="110">
        <f>G59+G61</f>
        <v>6057265</v>
      </c>
      <c r="H62" s="110">
        <f>H59+H61</f>
        <v>6234476</v>
      </c>
      <c r="I62" s="110">
        <f>I59+I61</f>
        <v>8482244</v>
      </c>
      <c r="J62" s="91"/>
      <c r="K62" s="54"/>
      <c r="L62" s="91"/>
      <c r="M62" s="54"/>
      <c r="N62" s="54"/>
    </row>
    <row r="63" spans="1:249" s="69" customFormat="1" ht="15.75" thickTop="1" x14ac:dyDescent="0.2">
      <c r="A63" s="111" t="s">
        <v>96</v>
      </c>
      <c r="B63" s="111"/>
      <c r="C63" s="111"/>
      <c r="D63" s="112"/>
      <c r="E63" s="215">
        <f>E62/E46</f>
        <v>6.9329854109998118E-2</v>
      </c>
      <c r="F63" s="215">
        <f>F62/F46</f>
        <v>5.9697710272763056E-2</v>
      </c>
      <c r="G63" s="216">
        <f>G62/G46</f>
        <v>5.1621589278491975E-2</v>
      </c>
      <c r="H63" s="216">
        <f>H62/H46</f>
        <v>5.1976485045675327E-2</v>
      </c>
      <c r="I63" s="216">
        <f>I62/I46</f>
        <v>6.9925207406114548E-2</v>
      </c>
      <c r="J63" s="42"/>
      <c r="K63" s="85"/>
      <c r="L63" s="42"/>
      <c r="M63" s="42"/>
      <c r="N63" s="42"/>
      <c r="O63" s="42"/>
    </row>
    <row r="64" spans="1:249" s="69" customFormat="1" ht="15" x14ac:dyDescent="0.2">
      <c r="A64" s="21" t="s">
        <v>97</v>
      </c>
      <c r="B64" s="21"/>
      <c r="C64" s="21"/>
      <c r="D64" s="197"/>
      <c r="E64" s="217">
        <f>E46*0.05</f>
        <v>5738522.1000000006</v>
      </c>
      <c r="F64" s="217">
        <f>F46*0.05</f>
        <v>5710667.1000000006</v>
      </c>
      <c r="G64" s="218">
        <f>G46*0.05</f>
        <v>5866988.1000000006</v>
      </c>
      <c r="H64" s="218">
        <f>H46*0.05</f>
        <v>5997400.5500000007</v>
      </c>
      <c r="I64" s="218">
        <f>I46*0.05</f>
        <v>6065226.2000000002</v>
      </c>
      <c r="J64" s="42"/>
      <c r="K64" s="85"/>
      <c r="L64" s="42"/>
      <c r="M64" s="42"/>
      <c r="N64" s="42"/>
      <c r="O64" s="42"/>
    </row>
    <row r="65" spans="1:249" s="69" customFormat="1" ht="15" x14ac:dyDescent="0.2">
      <c r="A65" s="199" t="s">
        <v>98</v>
      </c>
      <c r="B65" s="199"/>
      <c r="C65" s="199"/>
      <c r="D65" s="200"/>
      <c r="E65" s="201">
        <f>E62-E64</f>
        <v>2218495.8999999994</v>
      </c>
      <c r="F65" s="201">
        <f>F62-F64</f>
        <v>1107607.8999999994</v>
      </c>
      <c r="G65" s="201">
        <f>G62-G64</f>
        <v>190276.89999999944</v>
      </c>
      <c r="H65" s="201">
        <f t="shared" ref="H65:I65" si="8">H62-H64</f>
        <v>237075.44999999925</v>
      </c>
      <c r="I65" s="201">
        <f t="shared" si="8"/>
        <v>2417017.7999999998</v>
      </c>
      <c r="J65" s="42"/>
      <c r="K65" s="85"/>
      <c r="L65" s="42"/>
      <c r="M65" s="42"/>
      <c r="N65" s="42"/>
      <c r="O65" s="42"/>
    </row>
    <row r="66" spans="1:249" s="42" customFormat="1" ht="14.25" hidden="1" customHeight="1" x14ac:dyDescent="0.2">
      <c r="A66" s="123" t="s">
        <v>43</v>
      </c>
      <c r="B66" s="123"/>
      <c r="C66" s="123"/>
      <c r="D66" s="123"/>
      <c r="E66" s="123"/>
      <c r="F66" s="123"/>
      <c r="G66" s="123"/>
      <c r="H66" s="123"/>
      <c r="I66" s="123"/>
      <c r="IF66" s="43"/>
      <c r="IG66" s="43"/>
      <c r="IH66" s="43"/>
      <c r="II66" s="43"/>
      <c r="IJ66" s="43"/>
      <c r="IK66" s="43"/>
      <c r="IL66" s="43"/>
      <c r="IM66" s="43"/>
      <c r="IN66" s="43"/>
      <c r="IO66" s="43"/>
    </row>
    <row r="67" spans="1:249" s="113" customFormat="1" ht="15" hidden="1" x14ac:dyDescent="0.2">
      <c r="A67" s="122" t="s">
        <v>53</v>
      </c>
      <c r="B67" s="122"/>
      <c r="C67" s="122"/>
      <c r="D67" s="122"/>
      <c r="E67" s="122"/>
      <c r="F67" s="122"/>
      <c r="G67" s="122"/>
      <c r="H67" s="12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3"/>
      <c r="IG67" s="43"/>
      <c r="IH67" s="43"/>
      <c r="II67" s="43"/>
      <c r="IJ67" s="43"/>
      <c r="IK67" s="43"/>
      <c r="IL67" s="43"/>
      <c r="IM67" s="43"/>
      <c r="IN67" s="43"/>
      <c r="IO67" s="43"/>
    </row>
    <row r="68" spans="1:249" s="42" customFormat="1" ht="14.25" hidden="1" customHeight="1" x14ac:dyDescent="0.2">
      <c r="A68" s="123" t="s">
        <v>61</v>
      </c>
      <c r="B68" s="123"/>
      <c r="C68" s="123"/>
      <c r="D68" s="123"/>
      <c r="E68" s="123"/>
      <c r="F68" s="123"/>
      <c r="G68" s="123"/>
      <c r="H68" s="123"/>
      <c r="I68" s="123"/>
      <c r="IF68" s="43"/>
      <c r="IG68" s="43"/>
      <c r="IH68" s="43"/>
      <c r="II68" s="43"/>
      <c r="IJ68" s="43"/>
      <c r="IK68" s="43"/>
      <c r="IL68" s="43"/>
      <c r="IM68" s="43"/>
      <c r="IN68" s="43"/>
      <c r="IO68" s="43"/>
    </row>
    <row r="69" spans="1:249" s="113" customFormat="1" ht="14.25" hidden="1" customHeight="1" x14ac:dyDescent="0.2">
      <c r="A69" s="122" t="s">
        <v>55</v>
      </c>
      <c r="B69" s="122"/>
      <c r="C69" s="122"/>
      <c r="D69" s="122"/>
      <c r="E69" s="122"/>
      <c r="F69" s="122"/>
      <c r="G69" s="122"/>
      <c r="H69" s="122"/>
      <c r="I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</row>
    <row r="70" spans="1:249" s="43" customFormat="1" ht="14.25" hidden="1" customHeight="1" x14ac:dyDescent="0.2">
      <c r="A70" s="132" t="s">
        <v>56</v>
      </c>
      <c r="B70" s="133"/>
      <c r="C70" s="134"/>
      <c r="D70" s="135"/>
      <c r="E70" s="130"/>
      <c r="F70" s="130"/>
      <c r="G70" s="130"/>
      <c r="H70" s="130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</row>
    <row r="71" spans="1:249" s="43" customFormat="1" ht="14.25" hidden="1" customHeight="1" x14ac:dyDescent="0.2">
      <c r="A71" s="42" t="s">
        <v>70</v>
      </c>
      <c r="B71" s="42"/>
      <c r="C71" s="42"/>
      <c r="D71" s="13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</row>
    <row r="72" spans="1:249" s="43" customFormat="1" ht="14.25" hidden="1" customHeight="1" x14ac:dyDescent="0.2">
      <c r="A72" s="132" t="s">
        <v>57</v>
      </c>
      <c r="B72" s="42"/>
      <c r="C72" s="42"/>
      <c r="D72" s="136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</row>
    <row r="73" spans="1:249" s="43" customFormat="1" hidden="1" x14ac:dyDescent="0.2">
      <c r="A73" s="380" t="s">
        <v>58</v>
      </c>
      <c r="B73" s="380"/>
      <c r="C73" s="380"/>
      <c r="D73" s="380"/>
      <c r="E73" s="380"/>
      <c r="F73" s="380"/>
      <c r="G73" s="380"/>
      <c r="H73" s="380"/>
      <c r="I73" s="380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</row>
    <row r="74" spans="1:249" hidden="1" x14ac:dyDescent="0.2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249" ht="12.75" hidden="1" customHeight="1" x14ac:dyDescent="0.2">
      <c r="A75" s="120" t="s">
        <v>31</v>
      </c>
      <c r="B75" s="118"/>
      <c r="C75" s="118"/>
      <c r="D75" s="119"/>
      <c r="E75" s="118"/>
      <c r="F75" s="118"/>
      <c r="G75" s="118"/>
      <c r="H75" s="118"/>
      <c r="I75" s="118"/>
    </row>
    <row r="76" spans="1:249" ht="12.75" hidden="1" customHeight="1" x14ac:dyDescent="0.2">
      <c r="A76" s="5" t="s">
        <v>32</v>
      </c>
      <c r="B76" s="118"/>
      <c r="C76" s="118"/>
      <c r="D76" s="119"/>
      <c r="E76" s="118"/>
      <c r="F76" s="118"/>
      <c r="G76" s="118"/>
      <c r="H76" s="118"/>
      <c r="I76" s="118"/>
    </row>
    <row r="77" spans="1:249" ht="12.75" hidden="1" customHeight="1" x14ac:dyDescent="0.2">
      <c r="A77" s="5" t="s">
        <v>33</v>
      </c>
      <c r="B77" s="118"/>
      <c r="C77" s="118"/>
      <c r="D77" s="119"/>
      <c r="E77" s="118"/>
      <c r="F77" s="118"/>
      <c r="G77" s="118"/>
      <c r="H77" s="118"/>
      <c r="I77" s="118"/>
    </row>
    <row r="78" spans="1:249" ht="12.75" hidden="1" customHeight="1" x14ac:dyDescent="0.2">
      <c r="A78" s="5" t="s">
        <v>34</v>
      </c>
      <c r="B78" s="118"/>
      <c r="C78" s="118"/>
      <c r="D78" s="119"/>
      <c r="E78" s="118"/>
      <c r="F78" s="118"/>
      <c r="G78" s="118"/>
      <c r="H78" s="118"/>
      <c r="I78" s="118"/>
    </row>
    <row r="79" spans="1:249" ht="12.75" hidden="1" customHeight="1" x14ac:dyDescent="0.2">
      <c r="A79" s="5" t="s">
        <v>35</v>
      </c>
      <c r="B79" s="118"/>
      <c r="C79" s="118"/>
      <c r="D79" s="119"/>
      <c r="E79" s="118"/>
      <c r="F79" s="118"/>
      <c r="G79" s="118"/>
      <c r="H79" s="118"/>
      <c r="I79" s="118"/>
    </row>
    <row r="80" spans="1:249" ht="12.75" hidden="1" customHeight="1" x14ac:dyDescent="0.2">
      <c r="A80" s="5" t="s">
        <v>36</v>
      </c>
      <c r="B80" s="118"/>
      <c r="C80" s="118"/>
      <c r="D80" s="119"/>
      <c r="E80" s="118"/>
      <c r="F80" s="118"/>
      <c r="G80" s="118"/>
      <c r="H80" s="118"/>
      <c r="I80" s="118"/>
    </row>
    <row r="81" spans="1:9" ht="12.75" hidden="1" customHeight="1" x14ac:dyDescent="0.2">
      <c r="A81" s="5" t="s">
        <v>37</v>
      </c>
      <c r="B81" s="118"/>
      <c r="C81" s="118"/>
      <c r="D81" s="119"/>
      <c r="E81" s="118"/>
      <c r="F81" s="118"/>
      <c r="G81" s="118"/>
      <c r="H81" s="118"/>
      <c r="I81" s="118"/>
    </row>
    <row r="82" spans="1:9" hidden="1" x14ac:dyDescent="0.2">
      <c r="D82" s="116"/>
    </row>
    <row r="83" spans="1:9" hidden="1" x14ac:dyDescent="0.2">
      <c r="A83" s="114" t="s">
        <v>38</v>
      </c>
      <c r="D83" s="116"/>
    </row>
    <row r="84" spans="1:9" hidden="1" x14ac:dyDescent="0.2">
      <c r="A84" s="19" t="s">
        <v>39</v>
      </c>
      <c r="D84" s="116"/>
    </row>
    <row r="85" spans="1:9" hidden="1" x14ac:dyDescent="0.2">
      <c r="A85" s="19" t="s">
        <v>40</v>
      </c>
      <c r="D85" s="116"/>
    </row>
    <row r="86" spans="1:9" hidden="1" x14ac:dyDescent="0.2">
      <c r="A86" s="19" t="s">
        <v>41</v>
      </c>
      <c r="D86" s="116"/>
    </row>
  </sheetData>
  <sheetProtection selectLockedCells="1" selectUnlockedCells="1"/>
  <mergeCells count="1">
    <mergeCell ref="A73:I73"/>
  </mergeCells>
  <printOptions horizontalCentered="1"/>
  <pageMargins left="0.7" right="0.7" top="0.75" bottom="0.75" header="0.3" footer="0.3"/>
  <pageSetup scale="59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55"/>
  <sheetViews>
    <sheetView workbookViewId="0">
      <selection activeCell="D51" sqref="D51"/>
    </sheetView>
  </sheetViews>
  <sheetFormatPr defaultRowHeight="12.75" x14ac:dyDescent="0.2"/>
  <cols>
    <col min="1" max="1" width="44.28515625" customWidth="1"/>
    <col min="2" max="2" width="12.28515625" hidden="1" customWidth="1"/>
    <col min="3" max="3" width="12.28515625" customWidth="1"/>
    <col min="4" max="5" width="12.28515625" bestFit="1" customWidth="1"/>
    <col min="6" max="6" width="12.28515625" hidden="1" customWidth="1"/>
  </cols>
  <sheetData>
    <row r="1" spans="1:246" ht="57" customHeight="1" x14ac:dyDescent="0.2">
      <c r="A1" s="187" t="s">
        <v>72</v>
      </c>
      <c r="B1" s="3" t="s">
        <v>44</v>
      </c>
      <c r="C1" s="159" t="s">
        <v>0</v>
      </c>
      <c r="D1" s="183" t="s">
        <v>71</v>
      </c>
      <c r="E1" s="4" t="s">
        <v>73</v>
      </c>
      <c r="F1" s="4" t="s">
        <v>48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</row>
    <row r="2" spans="1:246" s="10" customFormat="1" ht="15.75" hidden="1" customHeight="1" x14ac:dyDescent="0.25">
      <c r="A2" s="6" t="s">
        <v>1</v>
      </c>
      <c r="B2" s="8">
        <v>0.09</v>
      </c>
      <c r="C2" s="160">
        <v>-0.09</v>
      </c>
      <c r="D2" s="184">
        <v>0</v>
      </c>
      <c r="E2" s="9">
        <v>0</v>
      </c>
      <c r="F2" s="9">
        <v>0</v>
      </c>
    </row>
    <row r="3" spans="1:246" s="15" customFormat="1" ht="12.75" customHeight="1" x14ac:dyDescent="0.2">
      <c r="A3" s="11" t="s">
        <v>2</v>
      </c>
      <c r="B3" s="13">
        <f>B10/B7</f>
        <v>1.0422684510401483</v>
      </c>
      <c r="C3" s="161">
        <f>C10/C7</f>
        <v>1.0553158101216162</v>
      </c>
      <c r="D3" s="185">
        <v>1.0580000000000001</v>
      </c>
      <c r="E3" s="14">
        <f>D3</f>
        <v>1.0580000000000001</v>
      </c>
      <c r="F3" s="14">
        <f>E3</f>
        <v>1.0580000000000001</v>
      </c>
    </row>
    <row r="4" spans="1:246" s="19" customFormat="1" ht="12.75" customHeight="1" x14ac:dyDescent="0.2">
      <c r="A4" s="11" t="s">
        <v>3</v>
      </c>
      <c r="B4" s="16">
        <v>6900</v>
      </c>
      <c r="C4" s="162">
        <v>7000</v>
      </c>
      <c r="D4" s="51">
        <v>7100</v>
      </c>
      <c r="E4" s="17">
        <v>7185</v>
      </c>
      <c r="F4" s="17">
        <v>7300</v>
      </c>
      <c r="G4" s="18"/>
    </row>
    <row r="5" spans="1:246" s="19" customFormat="1" ht="12.75" customHeight="1" x14ac:dyDescent="0.2">
      <c r="A5" s="11" t="s">
        <v>4</v>
      </c>
      <c r="B5" s="16">
        <v>450</v>
      </c>
      <c r="C5" s="162">
        <v>450</v>
      </c>
      <c r="D5" s="51">
        <v>450</v>
      </c>
      <c r="E5" s="17">
        <v>400</v>
      </c>
      <c r="F5" s="17">
        <v>450</v>
      </c>
    </row>
    <row r="6" spans="1:246" s="19" customFormat="1" ht="12.75" customHeight="1" x14ac:dyDescent="0.2">
      <c r="A6" s="11" t="s">
        <v>5</v>
      </c>
      <c r="B6" s="16">
        <v>197</v>
      </c>
      <c r="C6" s="162">
        <v>197</v>
      </c>
      <c r="D6" s="51">
        <v>220</v>
      </c>
      <c r="E6" s="17">
        <v>185</v>
      </c>
      <c r="F6" s="17">
        <v>260</v>
      </c>
    </row>
    <row r="7" spans="1:246" s="15" customFormat="1" ht="12.75" customHeight="1" x14ac:dyDescent="0.2">
      <c r="A7" s="20" t="s">
        <v>6</v>
      </c>
      <c r="B7" s="22">
        <f t="shared" ref="B7" si="0">SUM(B4:B6)</f>
        <v>7547</v>
      </c>
      <c r="C7" s="163">
        <f>SUM(C4:C6)</f>
        <v>7647</v>
      </c>
      <c r="D7" s="23">
        <f>SUM(D4:D6)</f>
        <v>7770</v>
      </c>
      <c r="E7" s="23">
        <f>SUM(E4:E6)</f>
        <v>7770</v>
      </c>
      <c r="F7" s="23">
        <f>SUM(F4:F6)</f>
        <v>8010</v>
      </c>
    </row>
    <row r="8" spans="1:246" s="27" customFormat="1" ht="12.75" customHeight="1" x14ac:dyDescent="0.2">
      <c r="A8" s="24" t="s">
        <v>7</v>
      </c>
      <c r="B8" s="26">
        <f>B7-7547</f>
        <v>0</v>
      </c>
      <c r="C8" s="164"/>
      <c r="D8" s="186">
        <f>D7-C7</f>
        <v>123</v>
      </c>
      <c r="E8" s="186">
        <f>D8</f>
        <v>123</v>
      </c>
      <c r="F8" s="26">
        <f>F7-E7</f>
        <v>240</v>
      </c>
    </row>
    <row r="9" spans="1:246" s="15" customFormat="1" ht="12.75" customHeight="1" x14ac:dyDescent="0.2">
      <c r="A9" s="28"/>
      <c r="B9" s="30"/>
      <c r="C9" s="165"/>
      <c r="D9" s="23"/>
      <c r="E9" s="31"/>
      <c r="F9" s="31"/>
    </row>
    <row r="10" spans="1:246" s="15" customFormat="1" ht="12.75" hidden="1" customHeight="1" x14ac:dyDescent="0.2">
      <c r="A10" s="28" t="s">
        <v>8</v>
      </c>
      <c r="B10" s="30">
        <v>7866</v>
      </c>
      <c r="C10" s="165">
        <v>8070</v>
      </c>
      <c r="D10" s="23">
        <v>8197</v>
      </c>
      <c r="E10" s="31">
        <v>8324</v>
      </c>
      <c r="F10" s="31">
        <v>8452</v>
      </c>
    </row>
    <row r="11" spans="1:246" s="15" customFormat="1" ht="12.75" hidden="1" customHeight="1" x14ac:dyDescent="0.2">
      <c r="A11" s="28"/>
      <c r="B11" s="30"/>
      <c r="C11" s="165"/>
      <c r="D11" s="22"/>
      <c r="E11" s="31"/>
      <c r="F11" s="31"/>
      <c r="G11" s="124"/>
      <c r="H11" s="126"/>
    </row>
    <row r="12" spans="1:246" s="15" customFormat="1" ht="12.75" hidden="1" customHeight="1" x14ac:dyDescent="0.2">
      <c r="A12" s="32" t="s">
        <v>9</v>
      </c>
      <c r="B12" s="30"/>
      <c r="C12" s="162"/>
      <c r="D12" s="50"/>
      <c r="E12" s="17"/>
      <c r="F12" s="17"/>
      <c r="G12" s="125"/>
      <c r="H12" s="126"/>
    </row>
    <row r="13" spans="1:246" s="5" customFormat="1" ht="12.75" hidden="1" customHeight="1" x14ac:dyDescent="0.2">
      <c r="A13" s="34" t="s">
        <v>10</v>
      </c>
      <c r="B13" s="36">
        <v>50066510</v>
      </c>
      <c r="C13" s="164">
        <v>60925100</v>
      </c>
      <c r="D13" s="41">
        <f>C17</f>
        <v>60925100</v>
      </c>
      <c r="E13" s="37">
        <f>D17</f>
        <v>64622300</v>
      </c>
      <c r="F13" s="37">
        <f>E17</f>
        <v>67729300</v>
      </c>
      <c r="IC13"/>
      <c r="ID13"/>
      <c r="IE13"/>
      <c r="IF13"/>
      <c r="IG13"/>
      <c r="IH13"/>
      <c r="II13"/>
      <c r="IJ13"/>
      <c r="IK13"/>
      <c r="IL13"/>
    </row>
    <row r="14" spans="1:246" s="42" customFormat="1" ht="12.75" hidden="1" customHeight="1" x14ac:dyDescent="0.2">
      <c r="A14" s="38" t="s">
        <v>62</v>
      </c>
      <c r="B14" s="40"/>
      <c r="C14" s="166"/>
      <c r="D14" s="41">
        <f>142200000*0.026</f>
        <v>3697200</v>
      </c>
      <c r="E14" s="41">
        <f>119500000*0.026</f>
        <v>3107000</v>
      </c>
      <c r="F14" s="41">
        <f>124300000*0.026</f>
        <v>3231800</v>
      </c>
      <c r="G14" s="42" t="s">
        <v>66</v>
      </c>
      <c r="IC14" s="43"/>
      <c r="ID14" s="43"/>
      <c r="IE14" s="43"/>
      <c r="IF14" s="43"/>
      <c r="IG14" s="43"/>
      <c r="IH14" s="43"/>
      <c r="II14" s="43"/>
      <c r="IJ14" s="43"/>
      <c r="IK14" s="43"/>
      <c r="IL14" s="43"/>
    </row>
    <row r="15" spans="1:246" s="42" customFormat="1" ht="12.75" hidden="1" customHeight="1" x14ac:dyDescent="0.2">
      <c r="A15" s="38" t="s">
        <v>64</v>
      </c>
      <c r="B15" s="40"/>
      <c r="C15" s="166"/>
      <c r="D15" s="41"/>
      <c r="E15" s="41"/>
      <c r="F15" s="41"/>
      <c r="G15" s="42" t="s">
        <v>63</v>
      </c>
      <c r="IC15" s="43"/>
      <c r="ID15" s="43"/>
      <c r="IE15" s="43"/>
      <c r="IF15" s="43"/>
      <c r="IG15" s="43"/>
      <c r="IH15" s="43"/>
      <c r="II15" s="43"/>
      <c r="IJ15" s="43"/>
      <c r="IK15" s="43"/>
      <c r="IL15" s="43"/>
    </row>
    <row r="16" spans="1:246" s="42" customFormat="1" ht="12.75" hidden="1" customHeight="1" x14ac:dyDescent="0.2">
      <c r="A16" s="38" t="s">
        <v>65</v>
      </c>
      <c r="B16" s="40"/>
      <c r="C16" s="166"/>
      <c r="D16" s="41"/>
      <c r="E16" s="41"/>
      <c r="F16" s="41"/>
      <c r="IC16" s="43"/>
      <c r="ID16" s="43"/>
      <c r="IE16" s="43"/>
      <c r="IF16" s="43"/>
      <c r="IG16" s="43"/>
      <c r="IH16" s="43"/>
      <c r="II16" s="43"/>
      <c r="IJ16" s="43"/>
      <c r="IK16" s="43"/>
      <c r="IL16" s="43"/>
    </row>
    <row r="17" spans="1:246" s="42" customFormat="1" ht="12.75" hidden="1" customHeight="1" x14ac:dyDescent="0.2">
      <c r="A17" s="44" t="s">
        <v>11</v>
      </c>
      <c r="B17" s="22">
        <f>SUM(B13:B16)</f>
        <v>50066510</v>
      </c>
      <c r="C17" s="163">
        <f>SUM(C13:C16)</f>
        <v>60925100</v>
      </c>
      <c r="D17" s="46">
        <f>SUM(D13:D16)</f>
        <v>64622300</v>
      </c>
      <c r="E17" s="46">
        <f>SUM(E13:E16)</f>
        <v>67729300</v>
      </c>
      <c r="F17" s="46">
        <f>SUM(F13:F16)</f>
        <v>70961100</v>
      </c>
      <c r="IC17" s="43"/>
      <c r="ID17" s="43"/>
      <c r="IE17" s="43"/>
      <c r="IF17" s="43"/>
      <c r="IG17" s="43"/>
      <c r="IH17" s="43"/>
      <c r="II17" s="43"/>
      <c r="IJ17" s="43"/>
      <c r="IK17" s="43"/>
      <c r="IL17" s="43"/>
    </row>
    <row r="18" spans="1:246" s="42" customFormat="1" ht="12.75" customHeight="1" x14ac:dyDescent="0.2">
      <c r="A18" s="47" t="s">
        <v>12</v>
      </c>
      <c r="B18" s="22"/>
      <c r="C18" s="163"/>
      <c r="D18" s="46"/>
      <c r="E18" s="46"/>
      <c r="F18" s="46"/>
      <c r="IC18" s="43"/>
      <c r="ID18" s="43"/>
      <c r="IE18" s="43"/>
      <c r="IF18" s="43"/>
      <c r="IG18" s="43"/>
      <c r="IH18" s="43"/>
      <c r="II18" s="43"/>
      <c r="IJ18" s="43"/>
      <c r="IK18" s="43"/>
      <c r="IL18" s="43"/>
    </row>
    <row r="19" spans="1:246" s="42" customFormat="1" ht="12.75" customHeight="1" x14ac:dyDescent="0.2">
      <c r="A19" s="49" t="s">
        <v>13</v>
      </c>
      <c r="B19" s="50">
        <v>46623000</v>
      </c>
      <c r="C19" s="167">
        <v>43577000</v>
      </c>
      <c r="D19" s="51">
        <v>44464000</v>
      </c>
      <c r="E19" s="51">
        <v>44345000</v>
      </c>
      <c r="F19" s="51">
        <v>45563000</v>
      </c>
      <c r="G19" s="52"/>
      <c r="IC19" s="43"/>
      <c r="ID19" s="43"/>
      <c r="IE19" s="43"/>
      <c r="IF19" s="43"/>
      <c r="IG19" s="43"/>
      <c r="IH19" s="43"/>
      <c r="II19" s="43"/>
      <c r="IJ19" s="43"/>
      <c r="IK19" s="43"/>
      <c r="IL19" s="43"/>
    </row>
    <row r="20" spans="1:246" s="42" customFormat="1" ht="12.75" customHeight="1" x14ac:dyDescent="0.2">
      <c r="A20" s="49" t="s">
        <v>14</v>
      </c>
      <c r="B20" s="50">
        <v>2139000</v>
      </c>
      <c r="C20" s="167">
        <v>2139000</v>
      </c>
      <c r="D20" s="51">
        <v>2222000</v>
      </c>
      <c r="E20" s="51">
        <v>1869000</v>
      </c>
      <c r="F20" s="51">
        <v>2660000</v>
      </c>
      <c r="G20" s="53"/>
      <c r="H20" s="53"/>
      <c r="IC20" s="43"/>
      <c r="ID20" s="43"/>
      <c r="IE20" s="43"/>
      <c r="IF20" s="43"/>
      <c r="IG20" s="43"/>
      <c r="IH20" s="43"/>
      <c r="II20" s="43"/>
      <c r="IJ20" s="43"/>
      <c r="IK20" s="43"/>
      <c r="IL20" s="43"/>
    </row>
    <row r="21" spans="1:246" s="42" customFormat="1" ht="12.75" hidden="1" customHeight="1" x14ac:dyDescent="0.2">
      <c r="A21" s="49" t="s">
        <v>15</v>
      </c>
      <c r="B21" s="50">
        <v>2251000</v>
      </c>
      <c r="C21" s="167">
        <v>2369000</v>
      </c>
      <c r="D21" s="139">
        <v>2405000</v>
      </c>
      <c r="E21" s="51">
        <v>2442000</v>
      </c>
      <c r="F21" s="51">
        <v>2479000</v>
      </c>
      <c r="H21" s="53"/>
      <c r="IC21" s="43"/>
      <c r="ID21" s="43"/>
      <c r="IE21" s="43"/>
      <c r="IF21" s="43"/>
      <c r="IG21" s="43"/>
      <c r="IH21" s="43"/>
      <c r="II21" s="43"/>
      <c r="IJ21" s="43"/>
      <c r="IK21" s="43"/>
      <c r="IL21" s="43"/>
    </row>
    <row r="22" spans="1:246" s="42" customFormat="1" ht="12.75" hidden="1" customHeight="1" x14ac:dyDescent="0.2">
      <c r="A22" s="47" t="s">
        <v>16</v>
      </c>
      <c r="B22" s="55">
        <f>4882846+454500+25000</f>
        <v>5362346</v>
      </c>
      <c r="C22" s="168">
        <v>5006432</v>
      </c>
      <c r="D22" s="145">
        <f>C22</f>
        <v>5006432</v>
      </c>
      <c r="E22" s="56">
        <f>D22</f>
        <v>5006432</v>
      </c>
      <c r="F22" s="56">
        <f>E22</f>
        <v>5006432</v>
      </c>
      <c r="IC22" s="43"/>
      <c r="ID22" s="43"/>
      <c r="IE22" s="43"/>
      <c r="IF22" s="43"/>
      <c r="IG22" s="43"/>
      <c r="IH22" s="43"/>
      <c r="II22" s="43"/>
      <c r="IJ22" s="43"/>
      <c r="IK22" s="43"/>
      <c r="IL22" s="43"/>
    </row>
    <row r="23" spans="1:246" s="42" customFormat="1" ht="12.75" hidden="1" customHeight="1" x14ac:dyDescent="0.2">
      <c r="A23" s="57" t="s">
        <v>17</v>
      </c>
      <c r="B23" s="59">
        <f>SUM(B15:B22)</f>
        <v>106441856</v>
      </c>
      <c r="C23" s="59">
        <f t="shared" ref="C23:F23" si="1">SUM(C17:C22)</f>
        <v>114016532</v>
      </c>
      <c r="D23" s="60">
        <f t="shared" si="1"/>
        <v>118719732</v>
      </c>
      <c r="E23" s="60">
        <f t="shared" si="1"/>
        <v>121391732</v>
      </c>
      <c r="F23" s="60">
        <f t="shared" si="1"/>
        <v>126669532</v>
      </c>
      <c r="G23" s="127"/>
      <c r="H23" s="127"/>
      <c r="IC23" s="43"/>
      <c r="ID23" s="43"/>
      <c r="IE23" s="43"/>
      <c r="IF23" s="43"/>
      <c r="IG23" s="43"/>
      <c r="IH23" s="43"/>
      <c r="II23" s="43"/>
      <c r="IJ23" s="43"/>
      <c r="IK23" s="43"/>
      <c r="IL23" s="43"/>
    </row>
    <row r="24" spans="1:246" x14ac:dyDescent="0.2">
      <c r="A24" s="38" t="s">
        <v>75</v>
      </c>
      <c r="C24" s="167">
        <f>C19+C20</f>
        <v>45716000</v>
      </c>
      <c r="D24" s="51">
        <f>D19+D20</f>
        <v>46686000</v>
      </c>
      <c r="E24" s="51">
        <f>E19+E20</f>
        <v>46214000</v>
      </c>
      <c r="G24" t="s">
        <v>74</v>
      </c>
    </row>
    <row r="25" spans="1:246" x14ac:dyDescent="0.2">
      <c r="A25" s="38" t="s">
        <v>76</v>
      </c>
      <c r="C25" s="167"/>
      <c r="D25" s="51">
        <f>D24-C24</f>
        <v>970000</v>
      </c>
      <c r="E25" s="51">
        <f>E24-C24</f>
        <v>498000</v>
      </c>
      <c r="G25" s="188">
        <f>E24-D24</f>
        <v>-472000</v>
      </c>
    </row>
    <row r="26" spans="1:246" x14ac:dyDescent="0.2">
      <c r="A26" s="38" t="s">
        <v>78</v>
      </c>
      <c r="C26" s="167"/>
      <c r="D26" s="51">
        <f>-D25/3</f>
        <v>-323333.33333333331</v>
      </c>
      <c r="E26" s="51">
        <f>-E25/3</f>
        <v>-166000</v>
      </c>
      <c r="G26" s="188">
        <f>E26-D26</f>
        <v>157333.33333333331</v>
      </c>
    </row>
    <row r="27" spans="1:246" x14ac:dyDescent="0.2">
      <c r="A27" s="190" t="s">
        <v>77</v>
      </c>
      <c r="B27" s="191"/>
      <c r="C27" s="192"/>
      <c r="D27" s="193">
        <f>D25+D26</f>
        <v>646666.66666666674</v>
      </c>
      <c r="E27" s="193">
        <f>E25+E26</f>
        <v>332000</v>
      </c>
      <c r="G27" s="194">
        <f>E27-D27</f>
        <v>-314666.66666666674</v>
      </c>
    </row>
    <row r="29" spans="1:246" x14ac:dyDescent="0.2">
      <c r="A29" s="195" t="s">
        <v>81</v>
      </c>
      <c r="D29" s="189">
        <f>123*2891</f>
        <v>355593</v>
      </c>
      <c r="E29" s="189">
        <f>123*2891</f>
        <v>355593</v>
      </c>
    </row>
    <row r="36" spans="3:4" x14ac:dyDescent="0.2">
      <c r="C36" t="s">
        <v>79</v>
      </c>
      <c r="D36" t="s">
        <v>80</v>
      </c>
    </row>
    <row r="37" spans="3:4" x14ac:dyDescent="0.2">
      <c r="C37" s="167">
        <v>43577000</v>
      </c>
      <c r="D37">
        <v>43231000</v>
      </c>
    </row>
    <row r="38" spans="3:4" x14ac:dyDescent="0.2">
      <c r="C38" s="167">
        <v>2139000</v>
      </c>
      <c r="D38">
        <v>1859000</v>
      </c>
    </row>
    <row r="39" spans="3:4" x14ac:dyDescent="0.2">
      <c r="C39" s="167">
        <f>SUM(C37:C38)</f>
        <v>45716000</v>
      </c>
      <c r="D39">
        <f>SUM(D37:D38)</f>
        <v>45090000</v>
      </c>
    </row>
    <row r="40" spans="3:4" x14ac:dyDescent="0.2">
      <c r="D40" s="188">
        <f>C39-D39</f>
        <v>626000</v>
      </c>
    </row>
    <row r="53" ht="10.5" customHeight="1" x14ac:dyDescent="0.2"/>
    <row r="54" hidden="1" x14ac:dyDescent="0.2"/>
    <row r="55" hidden="1" x14ac:dyDescent="0.2"/>
  </sheetData>
  <pageMargins left="0.7" right="0.7" top="0.75" bottom="0.75" header="0.3" footer="0.3"/>
  <pageSetup scale="1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9"/>
  <sheetViews>
    <sheetView showGridLines="0" topLeftCell="A25" zoomScaleNormal="100" workbookViewId="0">
      <selection activeCell="L30" sqref="L30"/>
    </sheetView>
  </sheetViews>
  <sheetFormatPr defaultRowHeight="12.75" x14ac:dyDescent="0.2"/>
  <cols>
    <col min="1" max="1" width="48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10" width="12.28515625" style="5" bestFit="1" customWidth="1"/>
    <col min="11" max="11" width="11.28515625" style="5" bestFit="1" customWidth="1"/>
    <col min="12" max="12" width="17.7109375" style="5" bestFit="1" customWidth="1"/>
    <col min="13" max="13" width="9.140625" style="5"/>
    <col min="14" max="14" width="18" style="5" bestFit="1" customWidth="1"/>
    <col min="15" max="240" width="9.140625" style="5"/>
  </cols>
  <sheetData>
    <row r="1" spans="1:250" ht="57" customHeight="1" x14ac:dyDescent="0.2">
      <c r="A1" s="1" t="s">
        <v>111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  <c r="J1" s="4" t="s">
        <v>110</v>
      </c>
    </row>
    <row r="2" spans="1:250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  <c r="J2" s="9">
        <v>0</v>
      </c>
    </row>
    <row r="3" spans="1:250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1.056</v>
      </c>
      <c r="H3" s="14">
        <f>G3</f>
        <v>1.056</v>
      </c>
      <c r="I3" s="14">
        <f>H3</f>
        <v>1.056</v>
      </c>
      <c r="J3" s="14">
        <f>I3</f>
        <v>1.056</v>
      </c>
    </row>
    <row r="4" spans="1:250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2">
        <v>7550</v>
      </c>
      <c r="K4" s="219" t="s">
        <v>112</v>
      </c>
    </row>
    <row r="5" spans="1:250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7151</v>
      </c>
      <c r="H5" s="17">
        <v>7275</v>
      </c>
      <c r="I5" s="17">
        <v>7400</v>
      </c>
      <c r="J5" s="17">
        <v>7500</v>
      </c>
      <c r="K5" s="223">
        <f>J5-F5</f>
        <v>500</v>
      </c>
      <c r="L5" s="225" t="s">
        <v>103</v>
      </c>
    </row>
    <row r="6" spans="1:250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17">
        <v>270</v>
      </c>
      <c r="K6" s="223">
        <f t="shared" ref="K6:K7" si="0">J6-F6</f>
        <v>-180</v>
      </c>
      <c r="L6" s="225" t="s">
        <v>104</v>
      </c>
    </row>
    <row r="7" spans="1:250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195</v>
      </c>
      <c r="H7" s="17">
        <v>205</v>
      </c>
      <c r="I7" s="17">
        <v>210</v>
      </c>
      <c r="J7" s="17">
        <v>215</v>
      </c>
      <c r="K7" s="223">
        <f t="shared" si="0"/>
        <v>18</v>
      </c>
      <c r="L7" s="225" t="s">
        <v>105</v>
      </c>
    </row>
    <row r="8" spans="1:250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 t="shared" ref="E8:J8" si="2">SUM(E5:E7)</f>
        <v>7647</v>
      </c>
      <c r="F8" s="163">
        <f t="shared" si="2"/>
        <v>7647</v>
      </c>
      <c r="G8" s="140">
        <f t="shared" si="2"/>
        <v>7726</v>
      </c>
      <c r="H8" s="23">
        <f t="shared" si="2"/>
        <v>7820</v>
      </c>
      <c r="I8" s="23">
        <f t="shared" si="2"/>
        <v>7910</v>
      </c>
      <c r="J8" s="23">
        <f t="shared" si="2"/>
        <v>7985</v>
      </c>
      <c r="K8" s="224">
        <f>SUM(K5:K7)</f>
        <v>338</v>
      </c>
      <c r="L8" s="226" t="s">
        <v>100</v>
      </c>
    </row>
    <row r="9" spans="1:250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79</v>
      </c>
      <c r="H9" s="26">
        <f>H8-G8</f>
        <v>94</v>
      </c>
      <c r="I9" s="26">
        <f>I8-H8</f>
        <v>90</v>
      </c>
      <c r="J9" s="26">
        <f>J8-I8</f>
        <v>75</v>
      </c>
      <c r="K9" s="220"/>
      <c r="L9" s="221"/>
    </row>
    <row r="10" spans="1:250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  <c r="J10" s="31"/>
    </row>
    <row r="11" spans="1:250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8161</v>
      </c>
      <c r="H11" s="31">
        <v>8263</v>
      </c>
      <c r="I11" s="31">
        <v>8361</v>
      </c>
      <c r="J11" s="31">
        <v>7442</v>
      </c>
      <c r="K11" s="222"/>
      <c r="L11" s="222"/>
    </row>
    <row r="12" spans="1:250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31"/>
      <c r="K12" s="124"/>
      <c r="L12" s="126"/>
    </row>
    <row r="13" spans="1:250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7"/>
      <c r="K13" s="125"/>
      <c r="L13" s="126"/>
    </row>
    <row r="14" spans="1:250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F20</f>
        <v>60415210</v>
      </c>
      <c r="H14" s="37">
        <f>G20</f>
        <v>64093210</v>
      </c>
      <c r="I14" s="37">
        <f>H20</f>
        <v>67510210</v>
      </c>
      <c r="J14" s="37">
        <f>I20</f>
        <v>71063210</v>
      </c>
      <c r="IG14"/>
      <c r="IH14"/>
      <c r="II14"/>
      <c r="IJ14"/>
      <c r="IK14"/>
      <c r="IL14"/>
      <c r="IM14"/>
      <c r="IN14"/>
      <c r="IO14"/>
      <c r="IP14"/>
    </row>
    <row r="15" spans="1:250" s="42" customFormat="1" ht="12.75" customHeight="1" x14ac:dyDescent="0.2">
      <c r="A15" s="38" t="s">
        <v>91</v>
      </c>
      <c r="B15" s="39"/>
      <c r="C15" s="39"/>
      <c r="D15" s="40"/>
      <c r="E15" s="166"/>
      <c r="F15" s="166"/>
      <c r="G15" s="128">
        <f>ROUND(142200000*0.026*0.8,-3)</f>
        <v>2958000</v>
      </c>
      <c r="H15" s="41">
        <f>ROUND(119500000*0.026*0.8,-3)</f>
        <v>2486000</v>
      </c>
      <c r="I15" s="41">
        <f>ROUND(124300000*0.026*0.8,-3)</f>
        <v>2585000</v>
      </c>
      <c r="J15" s="41">
        <f>ROUND(124300000*1.04*0.026*0.8,-3)</f>
        <v>2689000</v>
      </c>
      <c r="K15" s="42" t="s">
        <v>82</v>
      </c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ROUND(142200000*0.026*0.1,-3)</f>
        <v>370000</v>
      </c>
      <c r="H16" s="41">
        <f>ROUND(119500000*0.026*0.1,-3)</f>
        <v>311000</v>
      </c>
      <c r="I16" s="41">
        <f>ROUND(124300000*0.026*0.1,-3)</f>
        <v>323000</v>
      </c>
      <c r="J16" s="41">
        <f>ROUND(124300000*1.04*0.026*0.1,-3)</f>
        <v>336000</v>
      </c>
      <c r="K16" s="42" t="s">
        <v>63</v>
      </c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246" t="s">
        <v>116</v>
      </c>
      <c r="I17" s="41"/>
      <c r="J17" s="41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>
        <f>G34</f>
        <v>350000</v>
      </c>
      <c r="H18" s="41">
        <f>H34-10000</f>
        <v>620000</v>
      </c>
      <c r="I18" s="41">
        <f>I34-20000</f>
        <v>645000</v>
      </c>
      <c r="J18" s="41">
        <f>J34-30000</f>
        <v>670000</v>
      </c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42" customFormat="1" ht="12.75" customHeight="1" x14ac:dyDescent="0.2">
      <c r="A19" s="38" t="s">
        <v>118</v>
      </c>
      <c r="B19" s="39"/>
      <c r="C19" s="39"/>
      <c r="D19" s="40"/>
      <c r="E19" s="166"/>
      <c r="F19" s="166"/>
      <c r="G19" s="249"/>
      <c r="H19" s="41"/>
      <c r="I19" s="41"/>
      <c r="J19" s="41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2" customFormat="1" ht="12.75" customHeight="1" x14ac:dyDescent="0.2">
      <c r="A20" s="44" t="s">
        <v>11</v>
      </c>
      <c r="B20" s="45"/>
      <c r="C20" s="45"/>
      <c r="D20" s="22">
        <f t="shared" ref="D20:I20" si="3">SUM(D14:D18)</f>
        <v>50066510</v>
      </c>
      <c r="E20" s="163">
        <f t="shared" si="3"/>
        <v>60925100</v>
      </c>
      <c r="F20" s="163">
        <f t="shared" si="3"/>
        <v>60415210</v>
      </c>
      <c r="G20" s="144">
        <f t="shared" si="3"/>
        <v>64093210</v>
      </c>
      <c r="H20" s="46">
        <f t="shared" si="3"/>
        <v>67510210</v>
      </c>
      <c r="I20" s="46">
        <f t="shared" si="3"/>
        <v>71063210</v>
      </c>
      <c r="J20" s="46">
        <f t="shared" ref="J20" si="4">SUM(J14:J18)</f>
        <v>74758210</v>
      </c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42" customFormat="1" ht="12.75" customHeight="1" x14ac:dyDescent="0.2">
      <c r="A21" s="47" t="s">
        <v>12</v>
      </c>
      <c r="B21" s="48"/>
      <c r="C21" s="48"/>
      <c r="D21" s="22"/>
      <c r="E21" s="163"/>
      <c r="F21" s="163"/>
      <c r="G21" s="144"/>
      <c r="H21" s="46"/>
      <c r="I21" s="46"/>
      <c r="J21" s="46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42" customFormat="1" ht="12.75" customHeight="1" x14ac:dyDescent="0.2">
      <c r="A22" s="49" t="s">
        <v>13</v>
      </c>
      <c r="B22" s="39"/>
      <c r="C22" s="39"/>
      <c r="D22" s="50">
        <v>46623000</v>
      </c>
      <c r="E22" s="167">
        <v>43577000</v>
      </c>
      <c r="F22" s="167">
        <v>43577000</v>
      </c>
      <c r="G22" s="139">
        <v>44062000</v>
      </c>
      <c r="H22" s="51">
        <v>44496000</v>
      </c>
      <c r="I22" s="51">
        <v>44906000</v>
      </c>
      <c r="J22" s="51">
        <v>45255000</v>
      </c>
      <c r="K22" s="196"/>
      <c r="L22" s="5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42" customFormat="1" ht="12.75" customHeight="1" x14ac:dyDescent="0.2">
      <c r="A23" s="49" t="s">
        <v>14</v>
      </c>
      <c r="B23" s="39"/>
      <c r="C23" s="39"/>
      <c r="D23" s="50">
        <v>2139000</v>
      </c>
      <c r="E23" s="167">
        <v>2139000</v>
      </c>
      <c r="F23" s="167">
        <v>2139000</v>
      </c>
      <c r="G23" s="139">
        <v>1966000</v>
      </c>
      <c r="H23" s="51">
        <v>2066000</v>
      </c>
      <c r="I23" s="51">
        <v>2125000</v>
      </c>
      <c r="J23" s="51">
        <v>2174000</v>
      </c>
      <c r="K23" s="53"/>
      <c r="L23" s="5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42" customFormat="1" ht="12.75" customHeight="1" x14ac:dyDescent="0.2">
      <c r="A24" s="49" t="s">
        <v>15</v>
      </c>
      <c r="B24" s="39"/>
      <c r="C24" s="39"/>
      <c r="D24" s="50">
        <v>2251000</v>
      </c>
      <c r="E24" s="167">
        <v>2369000</v>
      </c>
      <c r="F24" s="167">
        <v>2369000</v>
      </c>
      <c r="G24" s="139">
        <v>2428000</v>
      </c>
      <c r="H24" s="51">
        <v>2458000</v>
      </c>
      <c r="I24" s="51">
        <v>2487000</v>
      </c>
      <c r="J24" s="51">
        <v>2511000</v>
      </c>
      <c r="L24" s="5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42" customFormat="1" ht="12.75" customHeight="1" x14ac:dyDescent="0.2">
      <c r="A25" s="47" t="s">
        <v>16</v>
      </c>
      <c r="B25" s="48"/>
      <c r="C25" s="48"/>
      <c r="D25" s="55">
        <f>4882846+454500+25000</f>
        <v>5362346</v>
      </c>
      <c r="E25" s="168">
        <v>5006432</v>
      </c>
      <c r="F25" s="168">
        <v>5006432</v>
      </c>
      <c r="G25" s="145">
        <f>E25</f>
        <v>5006432</v>
      </c>
      <c r="H25" s="56">
        <f>G25</f>
        <v>5006432</v>
      </c>
      <c r="I25" s="56">
        <f>H25</f>
        <v>5006432</v>
      </c>
      <c r="J25" s="56">
        <f>I25</f>
        <v>5006432</v>
      </c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42" customFormat="1" ht="12.75" customHeight="1" x14ac:dyDescent="0.2">
      <c r="A26" s="57" t="s">
        <v>17</v>
      </c>
      <c r="B26" s="58"/>
      <c r="C26" s="58"/>
      <c r="D26" s="59">
        <f>SUM(D17:D25)</f>
        <v>106441856</v>
      </c>
      <c r="E26" s="59">
        <f t="shared" ref="E26:J26" si="5">SUM(E20:E25)</f>
        <v>114016532</v>
      </c>
      <c r="F26" s="59">
        <f t="shared" si="5"/>
        <v>113506642</v>
      </c>
      <c r="G26" s="60">
        <f t="shared" si="5"/>
        <v>117555642</v>
      </c>
      <c r="H26" s="60">
        <f t="shared" si="5"/>
        <v>121536642</v>
      </c>
      <c r="I26" s="60">
        <f t="shared" si="5"/>
        <v>125587642</v>
      </c>
      <c r="J26" s="60">
        <f t="shared" si="5"/>
        <v>129704642</v>
      </c>
      <c r="K26" s="127"/>
      <c r="L26" s="127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42" customFormat="1" ht="12.75" customHeight="1" x14ac:dyDescent="0.2">
      <c r="A27" s="61" t="s">
        <v>18</v>
      </c>
      <c r="B27" s="62"/>
      <c r="C27" s="62"/>
      <c r="D27" s="75">
        <v>114220856</v>
      </c>
      <c r="E27" s="169">
        <v>112355442</v>
      </c>
      <c r="F27" s="169">
        <v>112355442</v>
      </c>
      <c r="G27" s="146">
        <f>F47</f>
        <v>114213342</v>
      </c>
      <c r="H27" s="63">
        <f>G47</f>
        <v>117793042</v>
      </c>
      <c r="I27" s="63">
        <f>H47</f>
        <v>120774342</v>
      </c>
      <c r="J27" s="63">
        <f>I47</f>
        <v>122584475</v>
      </c>
      <c r="K27" s="5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42" customFormat="1" ht="12.75" customHeight="1" thickBot="1" x14ac:dyDescent="0.25">
      <c r="A28" s="20" t="s">
        <v>101</v>
      </c>
      <c r="B28" s="21"/>
      <c r="C28" s="21"/>
      <c r="D28" s="64">
        <f t="shared" ref="D28:J28" si="6">D26-D27</f>
        <v>-7779000</v>
      </c>
      <c r="E28" s="170">
        <f t="shared" si="6"/>
        <v>1661090</v>
      </c>
      <c r="F28" s="170">
        <f t="shared" si="6"/>
        <v>1151200</v>
      </c>
      <c r="G28" s="147">
        <f t="shared" si="6"/>
        <v>3342300</v>
      </c>
      <c r="H28" s="65">
        <f t="shared" si="6"/>
        <v>3743600</v>
      </c>
      <c r="I28" s="65">
        <f t="shared" si="6"/>
        <v>4813300</v>
      </c>
      <c r="J28" s="65">
        <f t="shared" si="6"/>
        <v>7120167</v>
      </c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42" customFormat="1" ht="12.75" customHeight="1" thickTop="1" x14ac:dyDescent="0.2">
      <c r="A29" s="20"/>
      <c r="B29" s="21"/>
      <c r="C29" s="21"/>
      <c r="D29" s="66"/>
      <c r="E29" s="171"/>
      <c r="F29" s="171"/>
      <c r="G29" s="148"/>
      <c r="H29" s="67"/>
      <c r="I29" s="67"/>
      <c r="J29" s="67"/>
      <c r="K29" s="68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69" customFormat="1" ht="12.75" customHeight="1" x14ac:dyDescent="0.2">
      <c r="A30" s="20" t="s">
        <v>19</v>
      </c>
      <c r="B30" s="21"/>
      <c r="C30" s="21"/>
      <c r="D30" s="50"/>
      <c r="E30" s="167"/>
      <c r="F30" s="167"/>
      <c r="G30" s="139"/>
      <c r="H30" s="51"/>
      <c r="I30" s="51"/>
      <c r="J30" s="51"/>
    </row>
    <row r="31" spans="1:250" s="42" customFormat="1" ht="12.75" customHeight="1" x14ac:dyDescent="0.2">
      <c r="A31" s="47" t="s">
        <v>20</v>
      </c>
      <c r="B31" s="48"/>
      <c r="C31" s="48"/>
      <c r="D31" s="50"/>
      <c r="E31" s="167">
        <v>148000</v>
      </c>
      <c r="F31" s="167">
        <v>148000</v>
      </c>
      <c r="G31" s="139">
        <f>G24-E24</f>
        <v>59000</v>
      </c>
      <c r="H31" s="51">
        <f>H24-G24</f>
        <v>30000</v>
      </c>
      <c r="I31" s="51">
        <f>I24-H24</f>
        <v>29000</v>
      </c>
      <c r="J31" s="51">
        <f>J24-I24</f>
        <v>24000</v>
      </c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69" customFormat="1" ht="12.75" customHeight="1" x14ac:dyDescent="0.2">
      <c r="A32" s="70" t="s">
        <v>49</v>
      </c>
      <c r="B32" s="48"/>
      <c r="C32" s="48"/>
      <c r="D32" s="50"/>
      <c r="E32" s="167">
        <v>0</v>
      </c>
      <c r="F32" s="167">
        <v>-557100</v>
      </c>
      <c r="G32" s="139">
        <f>ROUND((G22-E22)/3,-3)</f>
        <v>162000</v>
      </c>
      <c r="H32" s="51">
        <f>ROUND((H22-G22)/3,-3)</f>
        <v>145000</v>
      </c>
      <c r="I32" s="51">
        <f>ROUND((I22-H22)/3,-3)</f>
        <v>137000</v>
      </c>
      <c r="J32" s="51">
        <f>ROUND((J22-I22)/3,-3)</f>
        <v>116000</v>
      </c>
    </row>
    <row r="33" spans="1:250" s="69" customFormat="1" ht="12.75" customHeight="1" x14ac:dyDescent="0.2">
      <c r="A33" s="47" t="s">
        <v>21</v>
      </c>
      <c r="B33" s="48"/>
      <c r="C33" s="48"/>
      <c r="D33" s="50"/>
      <c r="E33" s="167">
        <v>1002000</v>
      </c>
      <c r="F33" s="167">
        <v>1002000</v>
      </c>
      <c r="G33" s="139">
        <f>540000/12*7</f>
        <v>315000</v>
      </c>
      <c r="H33" s="51">
        <v>550000</v>
      </c>
      <c r="I33" s="51">
        <v>560000</v>
      </c>
      <c r="J33" s="51">
        <v>560000</v>
      </c>
    </row>
    <row r="34" spans="1:250" s="69" customFormat="1" ht="12.75" customHeight="1" x14ac:dyDescent="0.2">
      <c r="A34" s="70" t="s">
        <v>22</v>
      </c>
      <c r="B34" s="48"/>
      <c r="C34" s="48"/>
      <c r="D34" s="50"/>
      <c r="E34" s="167">
        <v>1160000</v>
      </c>
      <c r="F34" s="167">
        <v>1160000</v>
      </c>
      <c r="G34" s="139">
        <v>350000</v>
      </c>
      <c r="H34" s="51">
        <v>630000</v>
      </c>
      <c r="I34" s="51">
        <v>665000</v>
      </c>
      <c r="J34" s="51">
        <v>700000</v>
      </c>
    </row>
    <row r="35" spans="1:250" s="69" customFormat="1" ht="12.75" customHeight="1" x14ac:dyDescent="0.2">
      <c r="A35" s="70" t="s">
        <v>50</v>
      </c>
      <c r="B35" s="48"/>
      <c r="C35" s="48"/>
      <c r="D35" s="50"/>
      <c r="E35" s="167">
        <v>0</v>
      </c>
      <c r="F35" s="167">
        <v>0</v>
      </c>
      <c r="G35" s="139">
        <v>750000</v>
      </c>
      <c r="H35" s="51">
        <v>750000</v>
      </c>
      <c r="I35" s="51">
        <v>750000</v>
      </c>
      <c r="J35" s="51">
        <v>750000</v>
      </c>
    </row>
    <row r="36" spans="1:250" s="69" customFormat="1" ht="12.75" customHeight="1" x14ac:dyDescent="0.2">
      <c r="A36" s="70" t="s">
        <v>51</v>
      </c>
      <c r="B36" s="21"/>
      <c r="C36" s="21"/>
      <c r="D36" s="50"/>
      <c r="E36" s="167">
        <v>0</v>
      </c>
      <c r="F36" s="167">
        <v>0</v>
      </c>
      <c r="G36" s="139">
        <v>100000</v>
      </c>
      <c r="H36" s="51">
        <v>100000</v>
      </c>
      <c r="I36" s="51">
        <v>100000</v>
      </c>
      <c r="J36" s="51">
        <v>100000</v>
      </c>
    </row>
    <row r="37" spans="1:250" s="69" customFormat="1" ht="12.75" customHeight="1" x14ac:dyDescent="0.2">
      <c r="A37" s="178" t="s">
        <v>107</v>
      </c>
      <c r="B37" s="179"/>
      <c r="C37" s="179"/>
      <c r="D37" s="180"/>
      <c r="E37" s="181"/>
      <c r="F37" s="181"/>
      <c r="G37" s="157">
        <f>405700</f>
        <v>405700</v>
      </c>
      <c r="H37" s="156">
        <v>297863</v>
      </c>
      <c r="I37" s="156">
        <v>443133</v>
      </c>
      <c r="J37" s="156">
        <v>253357</v>
      </c>
    </row>
    <row r="38" spans="1:250" s="69" customFormat="1" ht="12.75" customHeight="1" x14ac:dyDescent="0.2">
      <c r="A38" s="178" t="s">
        <v>90</v>
      </c>
      <c r="B38" s="179"/>
      <c r="C38" s="179"/>
      <c r="D38" s="180"/>
      <c r="E38" s="181"/>
      <c r="F38" s="181"/>
      <c r="G38" s="157">
        <f>768000</f>
        <v>768000</v>
      </c>
      <c r="H38" s="156"/>
      <c r="I38" s="156"/>
      <c r="J38" s="156"/>
    </row>
    <row r="39" spans="1:250" s="69" customFormat="1" ht="12.75" customHeight="1" x14ac:dyDescent="0.2">
      <c r="A39" s="178" t="s">
        <v>109</v>
      </c>
      <c r="B39" s="179"/>
      <c r="C39" s="179"/>
      <c r="D39" s="180"/>
      <c r="E39" s="181"/>
      <c r="F39" s="181"/>
      <c r="G39" s="157"/>
      <c r="H39" s="157"/>
      <c r="I39" s="156"/>
      <c r="J39" s="156"/>
    </row>
    <row r="40" spans="1:250" s="69" customFormat="1" ht="12.75" customHeight="1" x14ac:dyDescent="0.2">
      <c r="A40" s="235" t="s">
        <v>86</v>
      </c>
      <c r="B40" s="236"/>
      <c r="C40" s="236"/>
      <c r="D40" s="237"/>
      <c r="E40" s="238"/>
      <c r="F40" s="238"/>
      <c r="G40" s="239">
        <v>300000</v>
      </c>
      <c r="H40" s="240">
        <f>300000+167437</f>
        <v>467437</v>
      </c>
      <c r="I40" s="240">
        <v>500000</v>
      </c>
      <c r="J40" s="240">
        <v>500000</v>
      </c>
    </row>
    <row r="41" spans="1:250" s="69" customFormat="1" ht="12.75" customHeight="1" x14ac:dyDescent="0.2">
      <c r="A41" s="70" t="s">
        <v>88</v>
      </c>
      <c r="B41" s="21"/>
      <c r="C41" s="21"/>
      <c r="D41" s="50"/>
      <c r="E41" s="167"/>
      <c r="F41" s="167"/>
      <c r="G41" s="139">
        <f>G16</f>
        <v>370000</v>
      </c>
      <c r="H41" s="51">
        <f t="shared" ref="H41:J41" si="7">H16</f>
        <v>311000</v>
      </c>
      <c r="I41" s="51">
        <f t="shared" si="7"/>
        <v>323000</v>
      </c>
      <c r="J41" s="51">
        <f t="shared" si="7"/>
        <v>336000</v>
      </c>
    </row>
    <row r="42" spans="1:250" s="69" customFormat="1" ht="12.75" customHeight="1" x14ac:dyDescent="0.2">
      <c r="A42" s="70" t="s">
        <v>67</v>
      </c>
      <c r="B42" s="21"/>
      <c r="C42" s="21"/>
      <c r="D42" s="50"/>
      <c r="E42" s="167"/>
      <c r="F42" s="167"/>
      <c r="G42" s="139"/>
      <c r="H42" s="182">
        <v>-300000</v>
      </c>
      <c r="I42" s="182">
        <v>-1200000</v>
      </c>
      <c r="J42" s="182">
        <v>-900000</v>
      </c>
    </row>
    <row r="43" spans="1:250" s="69" customFormat="1" ht="12.75" customHeight="1" x14ac:dyDescent="0.2">
      <c r="A43" s="70" t="s">
        <v>68</v>
      </c>
      <c r="B43" s="21"/>
      <c r="C43" s="21"/>
      <c r="D43" s="50"/>
      <c r="E43" s="167"/>
      <c r="F43" s="167"/>
      <c r="G43" s="139"/>
      <c r="H43" s="182"/>
      <c r="I43" s="182">
        <v>-497000</v>
      </c>
      <c r="J43" s="182"/>
    </row>
    <row r="44" spans="1:250" s="92" customFormat="1" ht="12.75" customHeight="1" x14ac:dyDescent="0.2">
      <c r="A44" s="117" t="s">
        <v>54</v>
      </c>
      <c r="B44" s="96"/>
      <c r="C44" s="96"/>
      <c r="D44" s="95"/>
      <c r="E44" s="105">
        <v>67000</v>
      </c>
      <c r="F44" s="105">
        <v>67000</v>
      </c>
      <c r="G44" s="128"/>
      <c r="H44" s="90"/>
      <c r="I44" s="90"/>
      <c r="J44" s="90"/>
      <c r="K44" s="54"/>
      <c r="L44" s="91"/>
      <c r="M44" s="54"/>
      <c r="N44" s="91"/>
      <c r="O44" s="54"/>
      <c r="P44" s="54"/>
    </row>
    <row r="45" spans="1:250" s="92" customFormat="1" ht="12.75" customHeight="1" x14ac:dyDescent="0.2">
      <c r="A45" s="117" t="s">
        <v>26</v>
      </c>
      <c r="B45" s="96"/>
      <c r="C45" s="96"/>
      <c r="D45" s="95"/>
      <c r="E45" s="105">
        <v>38000</v>
      </c>
      <c r="F45" s="105">
        <v>38000</v>
      </c>
      <c r="G45" s="155"/>
      <c r="H45" s="90"/>
      <c r="I45" s="90"/>
      <c r="J45" s="90"/>
      <c r="K45" s="54"/>
      <c r="L45" s="91"/>
      <c r="M45" s="54"/>
      <c r="N45" s="91"/>
      <c r="O45" s="54"/>
      <c r="P45" s="54"/>
    </row>
    <row r="46" spans="1:250" s="42" customFormat="1" ht="12.75" customHeight="1" x14ac:dyDescent="0.2">
      <c r="A46" s="20" t="s">
        <v>23</v>
      </c>
      <c r="B46" s="21"/>
      <c r="C46" s="21"/>
      <c r="D46" s="71">
        <f>SUM(D32:D45)</f>
        <v>0</v>
      </c>
      <c r="E46" s="172">
        <f t="shared" ref="E46:J46" si="8">SUM(E31:E45)</f>
        <v>2415000</v>
      </c>
      <c r="F46" s="172">
        <f t="shared" si="8"/>
        <v>1857900</v>
      </c>
      <c r="G46" s="149">
        <f t="shared" si="8"/>
        <v>3579700</v>
      </c>
      <c r="H46" s="72">
        <f t="shared" si="8"/>
        <v>2981300</v>
      </c>
      <c r="I46" s="72">
        <f t="shared" si="8"/>
        <v>1810133</v>
      </c>
      <c r="J46" s="72">
        <f t="shared" si="8"/>
        <v>2439357</v>
      </c>
      <c r="IG46" s="43"/>
      <c r="IH46" s="43"/>
      <c r="II46" s="43"/>
      <c r="IJ46" s="43"/>
      <c r="IK46" s="43"/>
      <c r="IL46" s="43"/>
      <c r="IM46" s="43"/>
      <c r="IN46" s="43"/>
      <c r="IO46" s="43"/>
      <c r="IP46" s="43"/>
    </row>
    <row r="47" spans="1:250" s="69" customFormat="1" ht="12.75" customHeight="1" x14ac:dyDescent="0.2">
      <c r="A47" s="73" t="s">
        <v>45</v>
      </c>
      <c r="B47" s="74"/>
      <c r="C47" s="74"/>
      <c r="D47" s="75">
        <v>114220856</v>
      </c>
      <c r="E47" s="173">
        <f t="shared" ref="E47:J47" si="9">E27+E46</f>
        <v>114770442</v>
      </c>
      <c r="F47" s="173">
        <f t="shared" si="9"/>
        <v>114213342</v>
      </c>
      <c r="G47" s="150">
        <f t="shared" si="9"/>
        <v>117793042</v>
      </c>
      <c r="H47" s="76">
        <f t="shared" si="9"/>
        <v>120774342</v>
      </c>
      <c r="I47" s="76">
        <f t="shared" si="9"/>
        <v>122584475</v>
      </c>
      <c r="J47" s="76">
        <f t="shared" si="9"/>
        <v>125023832</v>
      </c>
      <c r="K47" s="42"/>
      <c r="L47" s="42"/>
      <c r="M47" s="42"/>
      <c r="N47" s="42"/>
      <c r="O47" s="42"/>
      <c r="P47" s="42"/>
    </row>
    <row r="48" spans="1:250" s="42" customFormat="1" ht="12.75" customHeight="1" x14ac:dyDescent="0.2">
      <c r="A48" s="77"/>
      <c r="B48" s="78"/>
      <c r="C48" s="78"/>
      <c r="D48" s="79"/>
      <c r="E48" s="174"/>
      <c r="F48" s="174"/>
      <c r="G48" s="151"/>
      <c r="H48" s="80"/>
      <c r="I48" s="80"/>
      <c r="J48" s="80"/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69" customFormat="1" ht="12.75" customHeight="1" thickBot="1" x14ac:dyDescent="0.25">
      <c r="A49" s="81" t="s">
        <v>24</v>
      </c>
      <c r="B49" s="82"/>
      <c r="C49" s="82"/>
      <c r="D49" s="83">
        <f t="shared" ref="D49:J49" si="10">D26-D47</f>
        <v>-7779000</v>
      </c>
      <c r="E49" s="175">
        <f t="shared" si="10"/>
        <v>-753910</v>
      </c>
      <c r="F49" s="175">
        <f t="shared" si="10"/>
        <v>-706700</v>
      </c>
      <c r="G49" s="84">
        <f t="shared" si="10"/>
        <v>-237400</v>
      </c>
      <c r="H49" s="84">
        <f t="shared" si="10"/>
        <v>762300</v>
      </c>
      <c r="I49" s="84">
        <f t="shared" si="10"/>
        <v>3003167</v>
      </c>
      <c r="J49" s="84">
        <f t="shared" si="10"/>
        <v>4680810</v>
      </c>
      <c r="K49" s="42"/>
      <c r="L49" s="85"/>
      <c r="M49" s="42"/>
      <c r="N49" s="42"/>
      <c r="O49" s="42"/>
      <c r="P49" s="42"/>
    </row>
    <row r="50" spans="1:250" s="92" customFormat="1" ht="12.75" customHeight="1" thickTop="1" x14ac:dyDescent="0.2">
      <c r="A50" s="86"/>
      <c r="B50" s="87"/>
      <c r="C50" s="88"/>
      <c r="D50" s="89"/>
      <c r="E50" s="105"/>
      <c r="F50" s="214"/>
      <c r="G50" s="129"/>
      <c r="H50" s="90"/>
      <c r="I50" s="90"/>
      <c r="J50" s="90"/>
      <c r="K50" s="91"/>
      <c r="L50" s="54"/>
      <c r="M50" s="91"/>
      <c r="N50" s="54"/>
      <c r="O50" s="54"/>
    </row>
    <row r="51" spans="1:250" s="69" customFormat="1" ht="12.75" customHeight="1" x14ac:dyDescent="0.2">
      <c r="A51" s="93" t="s">
        <v>59</v>
      </c>
      <c r="B51" s="87"/>
      <c r="C51" s="87"/>
      <c r="D51" s="95"/>
      <c r="E51" s="105"/>
      <c r="F51" s="214"/>
      <c r="G51" s="129"/>
      <c r="H51" s="90"/>
      <c r="I51" s="90"/>
      <c r="J51" s="90"/>
      <c r="K51" s="42"/>
      <c r="L51" s="68"/>
      <c r="M51" s="42"/>
      <c r="N51" s="68"/>
      <c r="O51" s="42"/>
      <c r="P51" s="42"/>
    </row>
    <row r="52" spans="1:250" s="92" customFormat="1" ht="12.75" customHeight="1" x14ac:dyDescent="0.2">
      <c r="A52" s="241" t="s">
        <v>25</v>
      </c>
      <c r="B52" s="242"/>
      <c r="C52" s="242"/>
      <c r="D52" s="243"/>
      <c r="E52" s="244">
        <v>300000</v>
      </c>
      <c r="F52" s="244">
        <v>300000</v>
      </c>
      <c r="G52" s="245" t="s">
        <v>106</v>
      </c>
      <c r="H52" s="245"/>
      <c r="I52" s="245"/>
      <c r="J52" s="245"/>
      <c r="K52" s="54"/>
      <c r="L52" s="91"/>
      <c r="M52" s="54"/>
      <c r="N52" s="91"/>
      <c r="O52" s="54"/>
      <c r="P52" s="54"/>
    </row>
    <row r="53" spans="1:250" s="92" customFormat="1" ht="12.75" hidden="1" customHeight="1" x14ac:dyDescent="0.2">
      <c r="A53" s="241"/>
      <c r="B53" s="242"/>
      <c r="C53" s="242"/>
      <c r="D53" s="243"/>
      <c r="E53" s="244"/>
      <c r="F53" s="244"/>
      <c r="G53" s="245"/>
      <c r="H53" s="245"/>
      <c r="I53" s="245"/>
      <c r="J53" s="245"/>
      <c r="K53" s="54"/>
      <c r="L53" s="91"/>
      <c r="M53" s="54"/>
      <c r="N53" s="91"/>
      <c r="O53" s="54"/>
      <c r="P53" s="54"/>
    </row>
    <row r="54" spans="1:250" s="92" customFormat="1" ht="12.75" customHeight="1" x14ac:dyDescent="0.2">
      <c r="A54" s="241" t="s">
        <v>28</v>
      </c>
      <c r="B54" s="242"/>
      <c r="C54" s="242"/>
      <c r="D54" s="243"/>
      <c r="E54" s="244">
        <v>300000</v>
      </c>
      <c r="F54" s="244">
        <v>300000</v>
      </c>
      <c r="G54" s="245">
        <v>200000</v>
      </c>
      <c r="H54" s="245"/>
      <c r="I54" s="245"/>
      <c r="J54" s="245"/>
      <c r="K54" s="54"/>
      <c r="L54" s="91"/>
      <c r="M54" s="54"/>
      <c r="N54" s="91"/>
      <c r="O54" s="54"/>
      <c r="P54" s="54"/>
    </row>
    <row r="55" spans="1:250" s="92" customFormat="1" ht="12.75" customHeight="1" x14ac:dyDescent="0.2">
      <c r="A55" s="241" t="s">
        <v>42</v>
      </c>
      <c r="B55" s="242"/>
      <c r="C55" s="242"/>
      <c r="D55" s="243"/>
      <c r="E55" s="244">
        <v>115000</v>
      </c>
      <c r="F55" s="244">
        <v>115000</v>
      </c>
      <c r="G55" s="245">
        <v>100000</v>
      </c>
      <c r="H55" s="245"/>
      <c r="I55" s="245"/>
      <c r="J55" s="245"/>
      <c r="K55" s="54"/>
      <c r="L55" s="91"/>
      <c r="M55" s="54"/>
      <c r="N55" s="91"/>
      <c r="O55" s="54"/>
      <c r="P55" s="54"/>
    </row>
    <row r="56" spans="1:250" s="92" customFormat="1" ht="12.75" customHeight="1" x14ac:dyDescent="0.2">
      <c r="A56" s="178" t="s">
        <v>108</v>
      </c>
      <c r="B56" s="204"/>
      <c r="C56" s="204"/>
      <c r="D56" s="205"/>
      <c r="E56" s="206">
        <v>500000</v>
      </c>
      <c r="F56" s="206">
        <v>500000</v>
      </c>
      <c r="G56" s="207">
        <v>228310</v>
      </c>
      <c r="H56" s="207">
        <v>271660</v>
      </c>
      <c r="I56" s="207">
        <v>260100</v>
      </c>
      <c r="J56" s="207">
        <v>216750</v>
      </c>
      <c r="K56" s="54"/>
      <c r="L56" s="91"/>
      <c r="M56" s="54"/>
      <c r="N56" s="91"/>
      <c r="O56" s="54"/>
      <c r="P56" s="54"/>
    </row>
    <row r="57" spans="1:250" s="92" customFormat="1" ht="12.75" customHeight="1" x14ac:dyDescent="0.2">
      <c r="A57" s="241" t="s">
        <v>29</v>
      </c>
      <c r="B57" s="242"/>
      <c r="C57" s="242"/>
      <c r="D57" s="243"/>
      <c r="E57" s="244">
        <v>406000</v>
      </c>
      <c r="F57" s="244">
        <v>406000</v>
      </c>
      <c r="G57" s="245"/>
      <c r="H57" s="245"/>
      <c r="I57" s="245"/>
      <c r="J57" s="245"/>
      <c r="K57" s="54"/>
      <c r="L57" s="91"/>
      <c r="M57" s="54"/>
      <c r="N57" s="91"/>
      <c r="O57" s="54"/>
      <c r="P57" s="54"/>
    </row>
    <row r="58" spans="1:250" s="92" customFormat="1" ht="12.75" customHeight="1" x14ac:dyDescent="0.2">
      <c r="A58" s="86"/>
      <c r="B58" s="96"/>
      <c r="C58" s="96"/>
      <c r="D58" s="95"/>
      <c r="E58" s="105"/>
      <c r="F58" s="105"/>
      <c r="G58" s="129"/>
      <c r="H58" s="90"/>
      <c r="I58" s="90"/>
      <c r="J58" s="90"/>
      <c r="K58" s="54"/>
      <c r="L58" s="91"/>
      <c r="M58" s="54"/>
      <c r="N58" s="91"/>
      <c r="O58" s="54"/>
      <c r="P58" s="54"/>
    </row>
    <row r="59" spans="1:250" s="69" customFormat="1" ht="12.75" customHeight="1" x14ac:dyDescent="0.2">
      <c r="A59" s="93" t="s">
        <v>60</v>
      </c>
      <c r="B59" s="87"/>
      <c r="C59" s="87"/>
      <c r="D59" s="97"/>
      <c r="E59" s="176">
        <f t="shared" ref="E59:J59" si="11">SUM(E52:E58)</f>
        <v>1621000</v>
      </c>
      <c r="F59" s="176">
        <f t="shared" si="11"/>
        <v>1621000</v>
      </c>
      <c r="G59" s="152">
        <f t="shared" si="11"/>
        <v>528310</v>
      </c>
      <c r="H59" s="98">
        <f t="shared" si="11"/>
        <v>271660</v>
      </c>
      <c r="I59" s="98">
        <f t="shared" si="11"/>
        <v>260100</v>
      </c>
      <c r="J59" s="98">
        <f t="shared" si="11"/>
        <v>216750</v>
      </c>
      <c r="K59" s="99"/>
      <c r="L59" s="100"/>
      <c r="M59" s="99"/>
      <c r="N59" s="100"/>
      <c r="O59" s="99"/>
      <c r="P59" s="99"/>
    </row>
    <row r="60" spans="1:250" s="69" customFormat="1" ht="12.75" customHeight="1" x14ac:dyDescent="0.2">
      <c r="A60" s="93"/>
      <c r="B60" s="87"/>
      <c r="C60" s="87"/>
      <c r="D60" s="95"/>
      <c r="E60" s="105"/>
      <c r="F60" s="105"/>
      <c r="G60" s="129"/>
      <c r="H60" s="90"/>
      <c r="I60" s="90"/>
      <c r="J60" s="90"/>
      <c r="K60" s="42"/>
      <c r="L60" s="68"/>
      <c r="M60" s="42"/>
      <c r="N60" s="68"/>
      <c r="O60" s="42"/>
      <c r="P60" s="42"/>
    </row>
    <row r="61" spans="1:250" s="42" customFormat="1" ht="12.75" customHeight="1" thickBot="1" x14ac:dyDescent="0.25">
      <c r="A61" s="101" t="s">
        <v>30</v>
      </c>
      <c r="B61" s="102"/>
      <c r="C61" s="102"/>
      <c r="D61" s="103">
        <f t="shared" ref="D61:J61" si="12">D49-D59</f>
        <v>-7779000</v>
      </c>
      <c r="E61" s="103">
        <f t="shared" si="12"/>
        <v>-2374910</v>
      </c>
      <c r="F61" s="103">
        <f t="shared" si="12"/>
        <v>-2327700</v>
      </c>
      <c r="G61" s="153">
        <f t="shared" si="12"/>
        <v>-765710</v>
      </c>
      <c r="H61" s="104">
        <f t="shared" si="12"/>
        <v>490640</v>
      </c>
      <c r="I61" s="104">
        <f t="shared" si="12"/>
        <v>2743067</v>
      </c>
      <c r="J61" s="104">
        <f t="shared" si="12"/>
        <v>4464060</v>
      </c>
      <c r="IG61" s="43"/>
      <c r="IH61" s="43"/>
      <c r="II61" s="43"/>
      <c r="IJ61" s="43"/>
      <c r="IK61" s="43"/>
      <c r="IL61" s="43"/>
      <c r="IM61" s="43"/>
      <c r="IN61" s="43"/>
      <c r="IO61" s="43"/>
      <c r="IP61" s="43"/>
    </row>
    <row r="62" spans="1:250" s="92" customFormat="1" ht="12.75" customHeight="1" thickTop="1" x14ac:dyDescent="0.2">
      <c r="A62" s="86"/>
      <c r="B62" s="87"/>
      <c r="C62" s="94"/>
      <c r="D62" s="105"/>
      <c r="E62" s="105"/>
      <c r="F62" s="105"/>
      <c r="G62" s="129"/>
      <c r="H62" s="90"/>
      <c r="I62" s="90"/>
      <c r="J62" s="90"/>
      <c r="K62" s="91"/>
      <c r="L62" s="54"/>
      <c r="M62" s="91"/>
      <c r="N62" s="54"/>
      <c r="O62" s="54"/>
    </row>
    <row r="63" spans="1:250" s="92" customFormat="1" ht="12.75" customHeight="1" x14ac:dyDescent="0.2">
      <c r="A63" s="86" t="s">
        <v>52</v>
      </c>
      <c r="B63" s="87"/>
      <c r="C63" s="94"/>
      <c r="D63" s="105"/>
      <c r="E63" s="105">
        <v>10331928</v>
      </c>
      <c r="F63" s="105">
        <v>9145975</v>
      </c>
      <c r="G63" s="129">
        <f>F64+300000</f>
        <v>7118275</v>
      </c>
      <c r="H63" s="90">
        <f>G64</f>
        <v>6352565</v>
      </c>
      <c r="I63" s="90">
        <f>H64</f>
        <v>6843205</v>
      </c>
      <c r="J63" s="90">
        <f>I64</f>
        <v>9586272</v>
      </c>
      <c r="K63" s="91"/>
      <c r="L63" s="54"/>
      <c r="M63" s="91"/>
      <c r="N63" s="54"/>
      <c r="O63" s="54"/>
    </row>
    <row r="64" spans="1:250" s="92" customFormat="1" ht="12.75" customHeight="1" thickBot="1" x14ac:dyDescent="0.25">
      <c r="A64" s="106" t="s">
        <v>95</v>
      </c>
      <c r="B64" s="107"/>
      <c r="C64" s="108"/>
      <c r="D64" s="109"/>
      <c r="E64" s="109">
        <f t="shared" ref="E64:J64" si="13">E61+E63</f>
        <v>7957018</v>
      </c>
      <c r="F64" s="109">
        <f t="shared" si="13"/>
        <v>6818275</v>
      </c>
      <c r="G64" s="110">
        <f t="shared" si="13"/>
        <v>6352565</v>
      </c>
      <c r="H64" s="110">
        <f t="shared" si="13"/>
        <v>6843205</v>
      </c>
      <c r="I64" s="110">
        <f t="shared" si="13"/>
        <v>9586272</v>
      </c>
      <c r="J64" s="110">
        <f t="shared" si="13"/>
        <v>14050332</v>
      </c>
      <c r="K64" s="91"/>
      <c r="L64" s="54"/>
      <c r="M64" s="91"/>
      <c r="N64" s="54"/>
      <c r="O64" s="54"/>
    </row>
    <row r="65" spans="1:250" s="69" customFormat="1" ht="15.75" thickTop="1" x14ac:dyDescent="0.2">
      <c r="A65" s="111" t="s">
        <v>96</v>
      </c>
      <c r="B65" s="111"/>
      <c r="C65" s="111"/>
      <c r="D65" s="112"/>
      <c r="E65" s="215">
        <f>E64/E47</f>
        <v>6.9329854109998118E-2</v>
      </c>
      <c r="F65" s="215">
        <f>F64/F47</f>
        <v>5.9697710272763056E-2</v>
      </c>
      <c r="G65" s="216">
        <f t="shared" ref="G65:J65" si="14">G64/G47</f>
        <v>5.3929883226888735E-2</v>
      </c>
      <c r="H65" s="216">
        <f t="shared" si="14"/>
        <v>5.6661082864769403E-2</v>
      </c>
      <c r="I65" s="216">
        <f t="shared" si="14"/>
        <v>7.8201354616887667E-2</v>
      </c>
      <c r="J65" s="216">
        <f t="shared" si="14"/>
        <v>0.11238122984424281</v>
      </c>
      <c r="K65" s="42"/>
      <c r="L65" s="85"/>
      <c r="M65" s="42"/>
      <c r="N65" s="42"/>
      <c r="O65" s="42"/>
      <c r="P65" s="42"/>
    </row>
    <row r="66" spans="1:250" s="69" customFormat="1" ht="15" x14ac:dyDescent="0.2">
      <c r="A66" s="21" t="s">
        <v>97</v>
      </c>
      <c r="B66" s="21"/>
      <c r="C66" s="21"/>
      <c r="D66" s="197"/>
      <c r="E66" s="217">
        <f>E47*0.05</f>
        <v>5738522.1000000006</v>
      </c>
      <c r="F66" s="217">
        <f>F47*0.05</f>
        <v>5710667.1000000006</v>
      </c>
      <c r="G66" s="218">
        <f>G47*0.05</f>
        <v>5889652.1000000006</v>
      </c>
      <c r="H66" s="218">
        <f t="shared" ref="H66:J66" si="15">H47*0.05</f>
        <v>6038717.1000000006</v>
      </c>
      <c r="I66" s="218">
        <f t="shared" si="15"/>
        <v>6129223.75</v>
      </c>
      <c r="J66" s="218">
        <f t="shared" si="15"/>
        <v>6251191.6000000006</v>
      </c>
      <c r="K66" s="42"/>
      <c r="L66" s="85"/>
      <c r="M66" s="42"/>
      <c r="N66" s="42"/>
      <c r="O66" s="42"/>
      <c r="P66" s="42"/>
    </row>
    <row r="67" spans="1:250" s="69" customFormat="1" ht="15" x14ac:dyDescent="0.2">
      <c r="A67" s="199" t="s">
        <v>98</v>
      </c>
      <c r="B67" s="199"/>
      <c r="C67" s="199"/>
      <c r="D67" s="200"/>
      <c r="E67" s="201">
        <f>E64-E66</f>
        <v>2218495.8999999994</v>
      </c>
      <c r="F67" s="201">
        <f>F64-F66</f>
        <v>1107607.8999999994</v>
      </c>
      <c r="G67" s="201">
        <f>G64-G66</f>
        <v>462912.89999999944</v>
      </c>
      <c r="H67" s="201">
        <f t="shared" ref="H67:J67" si="16">H64-H66</f>
        <v>804487.89999999944</v>
      </c>
      <c r="I67" s="201">
        <f t="shared" si="16"/>
        <v>3457048.25</v>
      </c>
      <c r="J67" s="201">
        <f t="shared" si="16"/>
        <v>7799140.3999999994</v>
      </c>
      <c r="K67" s="42"/>
      <c r="L67" s="85"/>
      <c r="M67" s="42"/>
      <c r="N67" s="42"/>
      <c r="O67" s="42"/>
      <c r="P67" s="42"/>
    </row>
    <row r="68" spans="1:250" s="42" customFormat="1" ht="14.25" hidden="1" customHeight="1" x14ac:dyDescent="0.2">
      <c r="A68" s="123" t="s">
        <v>43</v>
      </c>
      <c r="B68" s="123"/>
      <c r="C68" s="123"/>
      <c r="D68" s="123"/>
      <c r="E68" s="123"/>
      <c r="F68" s="123"/>
      <c r="G68" s="123"/>
      <c r="H68" s="123"/>
      <c r="I68" s="123"/>
      <c r="J68" s="123"/>
      <c r="IG68" s="43"/>
      <c r="IH68" s="43"/>
      <c r="II68" s="43"/>
      <c r="IJ68" s="43"/>
      <c r="IK68" s="43"/>
      <c r="IL68" s="43"/>
      <c r="IM68" s="43"/>
      <c r="IN68" s="43"/>
      <c r="IO68" s="43"/>
      <c r="IP68" s="43"/>
    </row>
    <row r="69" spans="1:250" s="113" customFormat="1" ht="15" hidden="1" x14ac:dyDescent="0.2">
      <c r="A69" s="122" t="s">
        <v>53</v>
      </c>
      <c r="B69" s="122"/>
      <c r="C69" s="122"/>
      <c r="D69" s="122"/>
      <c r="E69" s="122"/>
      <c r="F69" s="122"/>
      <c r="G69" s="122"/>
      <c r="H69" s="12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3"/>
      <c r="IH69" s="43"/>
      <c r="II69" s="43"/>
      <c r="IJ69" s="43"/>
      <c r="IK69" s="43"/>
      <c r="IL69" s="43"/>
      <c r="IM69" s="43"/>
      <c r="IN69" s="43"/>
      <c r="IO69" s="43"/>
      <c r="IP69" s="43"/>
    </row>
    <row r="70" spans="1:250" s="42" customFormat="1" ht="14.25" hidden="1" customHeight="1" x14ac:dyDescent="0.2">
      <c r="A70" s="123" t="s">
        <v>61</v>
      </c>
      <c r="B70" s="123"/>
      <c r="C70" s="123"/>
      <c r="D70" s="123"/>
      <c r="E70" s="123"/>
      <c r="F70" s="123"/>
      <c r="G70" s="123"/>
      <c r="H70" s="123"/>
      <c r="I70" s="123"/>
      <c r="J70" s="123"/>
      <c r="IG70" s="43"/>
      <c r="IH70" s="43"/>
      <c r="II70" s="43"/>
      <c r="IJ70" s="43"/>
      <c r="IK70" s="43"/>
      <c r="IL70" s="43"/>
      <c r="IM70" s="43"/>
      <c r="IN70" s="43"/>
      <c r="IO70" s="43"/>
      <c r="IP70" s="43"/>
    </row>
    <row r="71" spans="1:250" s="113" customFormat="1" ht="14.25" hidden="1" customHeight="1" x14ac:dyDescent="0.2">
      <c r="A71" s="122" t="s">
        <v>55</v>
      </c>
      <c r="B71" s="122"/>
      <c r="C71" s="122"/>
      <c r="D71" s="122"/>
      <c r="E71" s="122"/>
      <c r="F71" s="122"/>
      <c r="G71" s="122"/>
      <c r="H71" s="122"/>
      <c r="I71" s="130"/>
      <c r="J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</row>
    <row r="72" spans="1:250" s="43" customFormat="1" ht="14.25" hidden="1" customHeight="1" x14ac:dyDescent="0.2">
      <c r="A72" s="132" t="s">
        <v>56</v>
      </c>
      <c r="B72" s="133"/>
      <c r="C72" s="134"/>
      <c r="D72" s="135"/>
      <c r="E72" s="130"/>
      <c r="F72" s="130"/>
      <c r="G72" s="130"/>
      <c r="H72" s="130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</row>
    <row r="73" spans="1:250" s="43" customFormat="1" ht="14.25" hidden="1" customHeight="1" x14ac:dyDescent="0.2">
      <c r="A73" s="42" t="s">
        <v>70</v>
      </c>
      <c r="B73" s="42"/>
      <c r="C73" s="42"/>
      <c r="D73" s="13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</row>
    <row r="74" spans="1:250" s="43" customFormat="1" ht="14.25" hidden="1" customHeight="1" x14ac:dyDescent="0.2">
      <c r="A74" s="132" t="s">
        <v>57</v>
      </c>
      <c r="B74" s="42"/>
      <c r="C74" s="42"/>
      <c r="D74" s="136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</row>
    <row r="75" spans="1:250" s="43" customFormat="1" hidden="1" x14ac:dyDescent="0.2">
      <c r="A75" s="380" t="s">
        <v>58</v>
      </c>
      <c r="B75" s="380"/>
      <c r="C75" s="380"/>
      <c r="D75" s="380"/>
      <c r="E75" s="380"/>
      <c r="F75" s="380"/>
      <c r="G75" s="380"/>
      <c r="H75" s="380"/>
      <c r="I75" s="380"/>
      <c r="J75" s="229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</row>
    <row r="76" spans="1:250" hidden="1" x14ac:dyDescent="0.2">
      <c r="A76" s="121"/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250" ht="12.75" hidden="1" customHeight="1" x14ac:dyDescent="0.2">
      <c r="A77" s="120" t="s">
        <v>31</v>
      </c>
      <c r="B77" s="118"/>
      <c r="C77" s="118"/>
      <c r="D77" s="119"/>
      <c r="E77" s="118"/>
      <c r="F77" s="118"/>
      <c r="G77" s="118"/>
      <c r="H77" s="118"/>
      <c r="I77" s="118"/>
      <c r="J77" s="118"/>
    </row>
    <row r="78" spans="1:250" ht="12.75" hidden="1" customHeight="1" x14ac:dyDescent="0.2">
      <c r="A78" s="5" t="s">
        <v>32</v>
      </c>
      <c r="B78" s="118"/>
      <c r="C78" s="118"/>
      <c r="D78" s="119"/>
      <c r="E78" s="118"/>
      <c r="F78" s="118"/>
      <c r="G78" s="118"/>
      <c r="H78" s="118"/>
      <c r="I78" s="118"/>
      <c r="J78" s="118"/>
    </row>
    <row r="79" spans="1:250" ht="12.75" hidden="1" customHeight="1" x14ac:dyDescent="0.2">
      <c r="A79" s="5" t="s">
        <v>33</v>
      </c>
      <c r="B79" s="118"/>
      <c r="C79" s="118"/>
      <c r="D79" s="119"/>
      <c r="E79" s="118"/>
      <c r="F79" s="118"/>
      <c r="G79" s="118"/>
      <c r="H79" s="118"/>
      <c r="I79" s="118"/>
      <c r="J79" s="118"/>
    </row>
    <row r="80" spans="1:250" ht="12.75" hidden="1" customHeight="1" x14ac:dyDescent="0.2">
      <c r="A80" s="5" t="s">
        <v>34</v>
      </c>
      <c r="B80" s="118"/>
      <c r="C80" s="118"/>
      <c r="D80" s="119"/>
      <c r="E80" s="118"/>
      <c r="F80" s="118"/>
      <c r="G80" s="118"/>
      <c r="H80" s="118"/>
      <c r="I80" s="118"/>
      <c r="J80" s="118"/>
    </row>
    <row r="81" spans="1:10" ht="12.75" hidden="1" customHeight="1" x14ac:dyDescent="0.2">
      <c r="A81" s="5" t="s">
        <v>35</v>
      </c>
      <c r="B81" s="118"/>
      <c r="C81" s="118"/>
      <c r="D81" s="119"/>
      <c r="E81" s="118"/>
      <c r="F81" s="118"/>
      <c r="G81" s="118"/>
      <c r="H81" s="118"/>
      <c r="I81" s="118"/>
      <c r="J81" s="118"/>
    </row>
    <row r="82" spans="1:10" ht="12.75" hidden="1" customHeight="1" x14ac:dyDescent="0.2">
      <c r="A82" s="5" t="s">
        <v>36</v>
      </c>
      <c r="B82" s="118"/>
      <c r="C82" s="118"/>
      <c r="D82" s="119"/>
      <c r="E82" s="118"/>
      <c r="F82" s="118"/>
      <c r="G82" s="118"/>
      <c r="H82" s="118"/>
      <c r="I82" s="118"/>
      <c r="J82" s="118"/>
    </row>
    <row r="83" spans="1:10" ht="12.75" hidden="1" customHeight="1" x14ac:dyDescent="0.2">
      <c r="A83" s="5" t="s">
        <v>37</v>
      </c>
      <c r="B83" s="118"/>
      <c r="C83" s="118"/>
      <c r="D83" s="119"/>
      <c r="E83" s="118"/>
      <c r="F83" s="118"/>
      <c r="G83" s="118"/>
      <c r="H83" s="118"/>
      <c r="I83" s="118"/>
      <c r="J83" s="118"/>
    </row>
    <row r="84" spans="1:10" hidden="1" x14ac:dyDescent="0.2">
      <c r="D84" s="116"/>
    </row>
    <row r="85" spans="1:10" hidden="1" x14ac:dyDescent="0.2">
      <c r="A85" s="114" t="s">
        <v>38</v>
      </c>
      <c r="D85" s="116"/>
    </row>
    <row r="86" spans="1:10" hidden="1" x14ac:dyDescent="0.2">
      <c r="A86" s="19" t="s">
        <v>39</v>
      </c>
      <c r="D86" s="116"/>
    </row>
    <row r="87" spans="1:10" hidden="1" x14ac:dyDescent="0.2">
      <c r="A87" s="19" t="s">
        <v>40</v>
      </c>
      <c r="D87" s="116"/>
    </row>
    <row r="88" spans="1:10" hidden="1" x14ac:dyDescent="0.2">
      <c r="A88" s="19" t="s">
        <v>41</v>
      </c>
      <c r="D88" s="116"/>
    </row>
    <row r="89" spans="1:10" hidden="1" x14ac:dyDescent="0.2"/>
  </sheetData>
  <sheetProtection selectLockedCells="1" selectUnlockedCells="1"/>
  <mergeCells count="1">
    <mergeCell ref="A75:I75"/>
  </mergeCells>
  <printOptions horizontalCentered="1"/>
  <pageMargins left="0.7" right="0.7" top="0.75" bottom="0.75" header="0.3" footer="0.3"/>
  <pageSetup scale="75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8"/>
  <sheetViews>
    <sheetView showGridLines="0" zoomScaleNormal="100" workbookViewId="0">
      <selection activeCell="L25" sqref="L25"/>
    </sheetView>
  </sheetViews>
  <sheetFormatPr defaultRowHeight="12.75" x14ac:dyDescent="0.2"/>
  <cols>
    <col min="1" max="1" width="48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10" width="12.28515625" style="5" bestFit="1" customWidth="1"/>
    <col min="11" max="11" width="11.28515625" style="5" bestFit="1" customWidth="1"/>
    <col min="12" max="12" width="17.7109375" style="5" bestFit="1" customWidth="1"/>
    <col min="13" max="13" width="9.140625" style="5"/>
    <col min="14" max="14" width="18" style="5" bestFit="1" customWidth="1"/>
    <col min="15" max="240" width="9.140625" style="5"/>
  </cols>
  <sheetData>
    <row r="1" spans="1:250" ht="57" customHeight="1" x14ac:dyDescent="0.2">
      <c r="A1" s="1" t="s">
        <v>93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  <c r="J1" s="4" t="s">
        <v>110</v>
      </c>
    </row>
    <row r="2" spans="1:250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  <c r="J2" s="9">
        <v>0</v>
      </c>
    </row>
    <row r="3" spans="1:250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1.0580000000000001</v>
      </c>
      <c r="H3" s="14">
        <f>G3</f>
        <v>1.0580000000000001</v>
      </c>
      <c r="I3" s="14">
        <f>H3</f>
        <v>1.0580000000000001</v>
      </c>
      <c r="J3" s="14">
        <f>I3</f>
        <v>1.0580000000000001</v>
      </c>
    </row>
    <row r="4" spans="1:250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2">
        <v>7550</v>
      </c>
      <c r="K4" s="219" t="s">
        <v>112</v>
      </c>
    </row>
    <row r="5" spans="1:250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7150</v>
      </c>
      <c r="H5" s="17">
        <v>7275</v>
      </c>
      <c r="I5" s="17">
        <v>7400</v>
      </c>
      <c r="J5" s="17">
        <v>7500</v>
      </c>
      <c r="K5" s="223">
        <f>J5-F5</f>
        <v>500</v>
      </c>
      <c r="L5" s="225" t="s">
        <v>103</v>
      </c>
    </row>
    <row r="6" spans="1:250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17">
        <v>270</v>
      </c>
      <c r="K6" s="223">
        <f t="shared" ref="K6:K7" si="0">J6-F6</f>
        <v>-180</v>
      </c>
      <c r="L6" s="225" t="s">
        <v>104</v>
      </c>
    </row>
    <row r="7" spans="1:250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200</v>
      </c>
      <c r="H7" s="17">
        <v>220</v>
      </c>
      <c r="I7" s="17">
        <v>235</v>
      </c>
      <c r="J7" s="17">
        <v>250</v>
      </c>
      <c r="K7" s="223">
        <f t="shared" si="0"/>
        <v>53</v>
      </c>
      <c r="L7" s="225" t="s">
        <v>105</v>
      </c>
    </row>
    <row r="8" spans="1:250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>SUM(E5:E7)</f>
        <v>7647</v>
      </c>
      <c r="F8" s="163">
        <f>SUM(F5:F7)</f>
        <v>7647</v>
      </c>
      <c r="G8" s="140">
        <f>SUM(G5:G7)</f>
        <v>7730</v>
      </c>
      <c r="H8" s="23">
        <f>SUM(H5:H7)</f>
        <v>7835</v>
      </c>
      <c r="I8" s="23">
        <f>SUM(I5:I7)</f>
        <v>7935</v>
      </c>
      <c r="J8" s="23">
        <f t="shared" ref="J8" si="2">SUM(J5:J7)</f>
        <v>8020</v>
      </c>
      <c r="K8" s="224">
        <f>SUM(K5:K7)</f>
        <v>373</v>
      </c>
      <c r="L8" s="226" t="s">
        <v>100</v>
      </c>
    </row>
    <row r="9" spans="1:250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83</v>
      </c>
      <c r="H9" s="26">
        <f>H8-G8</f>
        <v>105</v>
      </c>
      <c r="I9" s="26">
        <f>I8-H8</f>
        <v>100</v>
      </c>
      <c r="J9" s="26">
        <f>J8-I8</f>
        <v>85</v>
      </c>
      <c r="K9" s="220"/>
      <c r="L9" s="221"/>
    </row>
    <row r="10" spans="1:250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  <c r="J10" s="31"/>
    </row>
    <row r="11" spans="1:250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8180</v>
      </c>
      <c r="H11" s="31">
        <v>8288</v>
      </c>
      <c r="I11" s="31">
        <v>8392</v>
      </c>
      <c r="J11" s="31">
        <v>8442</v>
      </c>
      <c r="K11" s="222"/>
      <c r="L11" s="222"/>
    </row>
    <row r="12" spans="1:250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31"/>
      <c r="K12" s="124"/>
      <c r="L12" s="126"/>
    </row>
    <row r="13" spans="1:250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7"/>
      <c r="K13" s="125"/>
      <c r="L13" s="126"/>
    </row>
    <row r="14" spans="1:250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F20</f>
        <v>60415210</v>
      </c>
      <c r="H14" s="37">
        <f>G20</f>
        <v>64092690</v>
      </c>
      <c r="I14" s="37">
        <f>H20</f>
        <v>67508990</v>
      </c>
      <c r="J14" s="37">
        <f>I20</f>
        <v>71062610</v>
      </c>
      <c r="IG14"/>
      <c r="IH14"/>
      <c r="II14"/>
      <c r="IJ14"/>
      <c r="IK14"/>
      <c r="IL14"/>
      <c r="IM14"/>
      <c r="IN14"/>
      <c r="IO14"/>
      <c r="IP14"/>
    </row>
    <row r="15" spans="1:250" s="42" customFormat="1" ht="12.75" customHeight="1" x14ac:dyDescent="0.2">
      <c r="A15" s="38" t="s">
        <v>91</v>
      </c>
      <c r="B15" s="39"/>
      <c r="C15" s="39"/>
      <c r="D15" s="40"/>
      <c r="E15" s="166"/>
      <c r="F15" s="166"/>
      <c r="G15" s="128">
        <f>142200000*0.026*0.8</f>
        <v>2957760</v>
      </c>
      <c r="H15" s="41">
        <f>119500000*0.026*0.8</f>
        <v>2485600</v>
      </c>
      <c r="I15" s="41">
        <f>124300000*0.026*0.8</f>
        <v>2585440</v>
      </c>
      <c r="J15" s="41">
        <f>ROUND(124300000*1.04*0.026*0.8,-3)</f>
        <v>2689000</v>
      </c>
      <c r="K15" s="42" t="s">
        <v>82</v>
      </c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142200000*0.026*0.1</f>
        <v>369720</v>
      </c>
      <c r="H16" s="41">
        <f>119500000*0.026*0.1</f>
        <v>310700</v>
      </c>
      <c r="I16" s="41">
        <f>124300000*0.026*0.1</f>
        <v>323180</v>
      </c>
      <c r="J16" s="41">
        <f>ROUND(124300000*1.04*0.026*0.1,-3)</f>
        <v>336000</v>
      </c>
      <c r="K16" s="42" t="s">
        <v>63</v>
      </c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246" t="s">
        <v>116</v>
      </c>
      <c r="I17" s="41"/>
      <c r="J17" s="41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>
        <f>G34</f>
        <v>350000</v>
      </c>
      <c r="H18" s="41">
        <f>H34-10000</f>
        <v>620000</v>
      </c>
      <c r="I18" s="41">
        <f>I34-20000</f>
        <v>645000</v>
      </c>
      <c r="J18" s="41">
        <f>J34-30000</f>
        <v>670000</v>
      </c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42" customFormat="1" ht="12.75" customHeight="1" x14ac:dyDescent="0.2">
      <c r="A19" s="38" t="s">
        <v>118</v>
      </c>
      <c r="B19" s="39"/>
      <c r="C19" s="39"/>
      <c r="D19" s="40"/>
      <c r="E19" s="166"/>
      <c r="F19" s="166"/>
      <c r="G19" s="249"/>
      <c r="H19" s="41"/>
      <c r="I19" s="41"/>
      <c r="J19" s="41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2" customFormat="1" ht="12.75" customHeight="1" x14ac:dyDescent="0.2">
      <c r="A20" s="44" t="s">
        <v>11</v>
      </c>
      <c r="B20" s="45"/>
      <c r="C20" s="45"/>
      <c r="D20" s="22">
        <f t="shared" ref="D20:I20" si="3">SUM(D14:D18)</f>
        <v>50066510</v>
      </c>
      <c r="E20" s="163">
        <f t="shared" si="3"/>
        <v>60925100</v>
      </c>
      <c r="F20" s="163">
        <f t="shared" si="3"/>
        <v>60415210</v>
      </c>
      <c r="G20" s="144">
        <f t="shared" si="3"/>
        <v>64092690</v>
      </c>
      <c r="H20" s="46">
        <f t="shared" si="3"/>
        <v>67508990</v>
      </c>
      <c r="I20" s="46">
        <f t="shared" si="3"/>
        <v>71062610</v>
      </c>
      <c r="J20" s="46">
        <f t="shared" ref="J20" si="4">SUM(J14:J18)</f>
        <v>74757610</v>
      </c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42" customFormat="1" ht="12.75" customHeight="1" x14ac:dyDescent="0.2">
      <c r="A21" s="47" t="s">
        <v>12</v>
      </c>
      <c r="B21" s="48"/>
      <c r="C21" s="48"/>
      <c r="D21" s="22"/>
      <c r="E21" s="163"/>
      <c r="F21" s="163"/>
      <c r="G21" s="144"/>
      <c r="H21" s="46"/>
      <c r="I21" s="46"/>
      <c r="J21" s="46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42" customFormat="1" ht="12.75" customHeight="1" x14ac:dyDescent="0.2">
      <c r="A22" s="49" t="s">
        <v>13</v>
      </c>
      <c r="B22" s="39"/>
      <c r="C22" s="39"/>
      <c r="D22" s="50">
        <v>46623000</v>
      </c>
      <c r="E22" s="167">
        <v>43577000</v>
      </c>
      <c r="F22" s="167">
        <v>43577000</v>
      </c>
      <c r="G22" s="139">
        <v>44072000</v>
      </c>
      <c r="H22" s="51">
        <v>44570000</v>
      </c>
      <c r="I22" s="51">
        <v>45043000</v>
      </c>
      <c r="J22" s="51">
        <v>45255000</v>
      </c>
      <c r="K22" s="196"/>
      <c r="L22" s="5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42" customFormat="1" ht="12.75" customHeight="1" x14ac:dyDescent="0.2">
      <c r="A23" s="49" t="s">
        <v>14</v>
      </c>
      <c r="B23" s="39"/>
      <c r="C23" s="39"/>
      <c r="D23" s="50">
        <v>2139000</v>
      </c>
      <c r="E23" s="167">
        <v>2139000</v>
      </c>
      <c r="F23" s="167">
        <v>2139000</v>
      </c>
      <c r="G23" s="139">
        <v>2017000</v>
      </c>
      <c r="H23" s="51">
        <v>2222000</v>
      </c>
      <c r="I23" s="51">
        <v>2370000</v>
      </c>
      <c r="J23" s="51">
        <v>2174000</v>
      </c>
      <c r="K23" s="53"/>
      <c r="L23" s="5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42" customFormat="1" ht="12.75" customHeight="1" x14ac:dyDescent="0.2">
      <c r="A24" s="49" t="s">
        <v>15</v>
      </c>
      <c r="B24" s="39"/>
      <c r="C24" s="39"/>
      <c r="D24" s="50">
        <v>2251000</v>
      </c>
      <c r="E24" s="167">
        <v>2369000</v>
      </c>
      <c r="F24" s="167">
        <v>2369000</v>
      </c>
      <c r="G24" s="139">
        <v>2430000</v>
      </c>
      <c r="H24" s="51">
        <v>2465000</v>
      </c>
      <c r="I24" s="51">
        <v>2496000</v>
      </c>
      <c r="J24" s="51">
        <v>2511000</v>
      </c>
      <c r="L24" s="5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42" customFormat="1" ht="12.75" customHeight="1" x14ac:dyDescent="0.2">
      <c r="A25" s="47" t="s">
        <v>16</v>
      </c>
      <c r="B25" s="48"/>
      <c r="C25" s="48"/>
      <c r="D25" s="55">
        <f>4882846+454500+25000</f>
        <v>5362346</v>
      </c>
      <c r="E25" s="168">
        <v>5006432</v>
      </c>
      <c r="F25" s="168">
        <v>5006432</v>
      </c>
      <c r="G25" s="145">
        <f>E25</f>
        <v>5006432</v>
      </c>
      <c r="H25" s="56">
        <f>G25</f>
        <v>5006432</v>
      </c>
      <c r="I25" s="56">
        <f>H25</f>
        <v>5006432</v>
      </c>
      <c r="J25" s="56">
        <f>I25</f>
        <v>5006432</v>
      </c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42" customFormat="1" ht="12.75" customHeight="1" x14ac:dyDescent="0.2">
      <c r="A26" s="57" t="s">
        <v>17</v>
      </c>
      <c r="B26" s="58"/>
      <c r="C26" s="58"/>
      <c r="D26" s="59">
        <f>SUM(D17:D25)</f>
        <v>106441856</v>
      </c>
      <c r="E26" s="59">
        <f t="shared" ref="E26:J26" si="5">SUM(E20:E25)</f>
        <v>114016532</v>
      </c>
      <c r="F26" s="59">
        <f t="shared" si="5"/>
        <v>113506642</v>
      </c>
      <c r="G26" s="60">
        <f t="shared" si="5"/>
        <v>117618122</v>
      </c>
      <c r="H26" s="60">
        <f t="shared" si="5"/>
        <v>121772422</v>
      </c>
      <c r="I26" s="60">
        <f t="shared" si="5"/>
        <v>125978042</v>
      </c>
      <c r="J26" s="60">
        <f t="shared" si="5"/>
        <v>129704042</v>
      </c>
      <c r="K26" s="127"/>
      <c r="L26" s="127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42" customFormat="1" ht="12.75" customHeight="1" x14ac:dyDescent="0.2">
      <c r="A27" s="61" t="s">
        <v>18</v>
      </c>
      <c r="B27" s="62"/>
      <c r="C27" s="62"/>
      <c r="D27" s="75">
        <v>114220856</v>
      </c>
      <c r="E27" s="169">
        <v>112355442</v>
      </c>
      <c r="F27" s="169">
        <v>112355442</v>
      </c>
      <c r="G27" s="146">
        <f>F47</f>
        <v>114213342</v>
      </c>
      <c r="H27" s="63">
        <f>G47</f>
        <v>117797762</v>
      </c>
      <c r="I27" s="63">
        <f>H47</f>
        <v>121308615</v>
      </c>
      <c r="J27" s="63">
        <f>I47</f>
        <v>123656378</v>
      </c>
      <c r="K27" s="5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42" customFormat="1" ht="12.75" customHeight="1" thickBot="1" x14ac:dyDescent="0.25">
      <c r="A28" s="20" t="s">
        <v>101</v>
      </c>
      <c r="B28" s="21"/>
      <c r="C28" s="21"/>
      <c r="D28" s="64">
        <f t="shared" ref="D28" si="6">D26-D27</f>
        <v>-7779000</v>
      </c>
      <c r="E28" s="170">
        <f>E26-E27</f>
        <v>1661090</v>
      </c>
      <c r="F28" s="170">
        <f>F26-F27</f>
        <v>1151200</v>
      </c>
      <c r="G28" s="147">
        <f>G26-G27</f>
        <v>3404780</v>
      </c>
      <c r="H28" s="65">
        <f>H26-H27</f>
        <v>3974660</v>
      </c>
      <c r="I28" s="65">
        <f>I26-I27</f>
        <v>4669427</v>
      </c>
      <c r="J28" s="65">
        <f t="shared" ref="J28" si="7">J26-J27</f>
        <v>6047664</v>
      </c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42" customFormat="1" ht="12.75" customHeight="1" thickTop="1" x14ac:dyDescent="0.2">
      <c r="A29" s="20"/>
      <c r="B29" s="21"/>
      <c r="C29" s="21"/>
      <c r="D29" s="66"/>
      <c r="E29" s="171"/>
      <c r="F29" s="171"/>
      <c r="G29" s="148"/>
      <c r="H29" s="67"/>
      <c r="I29" s="67"/>
      <c r="J29" s="67"/>
      <c r="K29" s="68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69" customFormat="1" ht="12.75" customHeight="1" x14ac:dyDescent="0.2">
      <c r="A30" s="20" t="s">
        <v>19</v>
      </c>
      <c r="B30" s="21"/>
      <c r="C30" s="21"/>
      <c r="D30" s="50"/>
      <c r="E30" s="167"/>
      <c r="F30" s="167"/>
      <c r="G30" s="139"/>
      <c r="H30" s="51"/>
      <c r="I30" s="51"/>
      <c r="J30" s="51"/>
    </row>
    <row r="31" spans="1:250" s="42" customFormat="1" ht="12.75" customHeight="1" x14ac:dyDescent="0.2">
      <c r="A31" s="47" t="s">
        <v>20</v>
      </c>
      <c r="B31" s="48"/>
      <c r="C31" s="48"/>
      <c r="D31" s="50"/>
      <c r="E31" s="167">
        <v>148000</v>
      </c>
      <c r="F31" s="167">
        <v>148000</v>
      </c>
      <c r="G31" s="139">
        <f>G24-E24</f>
        <v>61000</v>
      </c>
      <c r="H31" s="51">
        <f>H24-G24</f>
        <v>35000</v>
      </c>
      <c r="I31" s="51">
        <f>I24-H24</f>
        <v>31000</v>
      </c>
      <c r="J31" s="51">
        <f>J24-I24</f>
        <v>15000</v>
      </c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69" customFormat="1" ht="12.75" customHeight="1" x14ac:dyDescent="0.2">
      <c r="A32" s="70" t="s">
        <v>49</v>
      </c>
      <c r="B32" s="48"/>
      <c r="C32" s="48"/>
      <c r="D32" s="50"/>
      <c r="E32" s="167">
        <v>0</v>
      </c>
      <c r="F32" s="167">
        <v>-557100</v>
      </c>
      <c r="G32" s="139">
        <f>ROUND((G22-E22)/3,-3)</f>
        <v>165000</v>
      </c>
      <c r="H32" s="51">
        <f>ROUND((H22-G22)/3,-3)</f>
        <v>166000</v>
      </c>
      <c r="I32" s="51">
        <f>ROUND((I22-H22)/3,-3)</f>
        <v>158000</v>
      </c>
      <c r="J32" s="51">
        <f>ROUND((J22-I22)/3,-3)</f>
        <v>71000</v>
      </c>
    </row>
    <row r="33" spans="1:250" s="69" customFormat="1" ht="12.75" customHeight="1" x14ac:dyDescent="0.2">
      <c r="A33" s="47" t="s">
        <v>21</v>
      </c>
      <c r="B33" s="48"/>
      <c r="C33" s="48"/>
      <c r="D33" s="50"/>
      <c r="E33" s="167">
        <v>1002000</v>
      </c>
      <c r="F33" s="167">
        <v>1002000</v>
      </c>
      <c r="G33" s="139">
        <f>540000/12*7</f>
        <v>315000</v>
      </c>
      <c r="H33" s="51">
        <v>550000</v>
      </c>
      <c r="I33" s="51">
        <v>560000</v>
      </c>
      <c r="J33" s="51">
        <v>560000</v>
      </c>
    </row>
    <row r="34" spans="1:250" s="69" customFormat="1" ht="12.75" customHeight="1" x14ac:dyDescent="0.2">
      <c r="A34" s="70" t="s">
        <v>22</v>
      </c>
      <c r="B34" s="48"/>
      <c r="C34" s="48"/>
      <c r="D34" s="50"/>
      <c r="E34" s="167">
        <v>1160000</v>
      </c>
      <c r="F34" s="167">
        <v>1160000</v>
      </c>
      <c r="G34" s="139">
        <v>350000</v>
      </c>
      <c r="H34" s="51">
        <v>630000</v>
      </c>
      <c r="I34" s="51">
        <v>665000</v>
      </c>
      <c r="J34" s="51">
        <v>700000</v>
      </c>
    </row>
    <row r="35" spans="1:250" s="69" customFormat="1" ht="12.75" customHeight="1" x14ac:dyDescent="0.2">
      <c r="A35" s="70" t="s">
        <v>50</v>
      </c>
      <c r="B35" s="48"/>
      <c r="C35" s="48"/>
      <c r="D35" s="50"/>
      <c r="E35" s="167">
        <v>0</v>
      </c>
      <c r="F35" s="167">
        <v>0</v>
      </c>
      <c r="G35" s="139">
        <v>750000</v>
      </c>
      <c r="H35" s="51">
        <v>750000</v>
      </c>
      <c r="I35" s="51">
        <v>750000</v>
      </c>
      <c r="J35" s="51">
        <v>750000</v>
      </c>
    </row>
    <row r="36" spans="1:250" s="69" customFormat="1" ht="12.75" customHeight="1" x14ac:dyDescent="0.2">
      <c r="A36" s="70" t="s">
        <v>51</v>
      </c>
      <c r="B36" s="21"/>
      <c r="C36" s="21"/>
      <c r="D36" s="50"/>
      <c r="E36" s="167">
        <v>0</v>
      </c>
      <c r="F36" s="167">
        <v>0</v>
      </c>
      <c r="G36" s="139">
        <v>100000</v>
      </c>
      <c r="H36" s="51">
        <v>100000</v>
      </c>
      <c r="I36" s="51">
        <v>100000</v>
      </c>
      <c r="J36" s="51">
        <v>100000</v>
      </c>
    </row>
    <row r="37" spans="1:250" s="69" customFormat="1" ht="12.75" customHeight="1" x14ac:dyDescent="0.2">
      <c r="A37" s="70" t="s">
        <v>88</v>
      </c>
      <c r="B37" s="21"/>
      <c r="C37" s="21"/>
      <c r="D37" s="50"/>
      <c r="E37" s="167"/>
      <c r="F37" s="167"/>
      <c r="G37" s="139">
        <f>G16</f>
        <v>369720</v>
      </c>
      <c r="H37" s="51">
        <f>H16</f>
        <v>310700</v>
      </c>
      <c r="I37" s="51">
        <f>I16</f>
        <v>323180</v>
      </c>
      <c r="J37" s="51">
        <f>J16</f>
        <v>336000</v>
      </c>
    </row>
    <row r="38" spans="1:250" s="69" customFormat="1" ht="12.75" customHeight="1" x14ac:dyDescent="0.2">
      <c r="A38" s="70" t="s">
        <v>67</v>
      </c>
      <c r="B38" s="21"/>
      <c r="C38" s="21"/>
      <c r="D38" s="50"/>
      <c r="E38" s="167"/>
      <c r="F38" s="167"/>
      <c r="G38" s="139"/>
      <c r="H38" s="182">
        <v>-300000</v>
      </c>
      <c r="I38" s="182">
        <v>-1200000</v>
      </c>
      <c r="J38" s="182">
        <v>-900000</v>
      </c>
    </row>
    <row r="39" spans="1:250" s="69" customFormat="1" ht="12.75" customHeight="1" x14ac:dyDescent="0.2">
      <c r="A39" s="70" t="s">
        <v>68</v>
      </c>
      <c r="B39" s="21"/>
      <c r="C39" s="21"/>
      <c r="D39" s="50"/>
      <c r="E39" s="167"/>
      <c r="F39" s="167"/>
      <c r="G39" s="139"/>
      <c r="H39" s="182"/>
      <c r="I39" s="182">
        <v>-497000</v>
      </c>
      <c r="J39" s="182"/>
    </row>
    <row r="40" spans="1:250" s="69" customFormat="1" ht="12.75" customHeight="1" x14ac:dyDescent="0.2">
      <c r="A40" s="117" t="s">
        <v>54</v>
      </c>
      <c r="B40" s="96"/>
      <c r="C40" s="96"/>
      <c r="D40" s="95"/>
      <c r="E40" s="105">
        <v>67000</v>
      </c>
      <c r="F40" s="105">
        <v>67000</v>
      </c>
      <c r="G40" s="128"/>
      <c r="H40" s="90"/>
      <c r="I40" s="90"/>
      <c r="J40" s="90"/>
    </row>
    <row r="41" spans="1:250" s="69" customFormat="1" ht="12.75" customHeight="1" x14ac:dyDescent="0.2">
      <c r="A41" s="117" t="s">
        <v>26</v>
      </c>
      <c r="B41" s="96"/>
      <c r="C41" s="96"/>
      <c r="D41" s="95"/>
      <c r="E41" s="105">
        <v>38000</v>
      </c>
      <c r="F41" s="105">
        <v>38000</v>
      </c>
      <c r="G41" s="232"/>
      <c r="H41" s="90"/>
      <c r="I41" s="90"/>
      <c r="J41" s="90"/>
    </row>
    <row r="42" spans="1:250" s="69" customFormat="1" ht="12.75" customHeight="1" x14ac:dyDescent="0.2">
      <c r="A42" s="178" t="s">
        <v>89</v>
      </c>
      <c r="B42" s="179"/>
      <c r="C42" s="179"/>
      <c r="D42" s="180"/>
      <c r="E42" s="181"/>
      <c r="F42" s="181"/>
      <c r="G42" s="157">
        <f>405700</f>
        <v>405700</v>
      </c>
      <c r="H42" s="156">
        <v>301716</v>
      </c>
      <c r="I42" s="156">
        <v>457583</v>
      </c>
      <c r="J42" s="156">
        <v>277440</v>
      </c>
    </row>
    <row r="43" spans="1:250" s="69" customFormat="1" ht="12.75" customHeight="1" x14ac:dyDescent="0.2">
      <c r="A43" s="178" t="s">
        <v>90</v>
      </c>
      <c r="B43" s="179"/>
      <c r="C43" s="179"/>
      <c r="D43" s="180"/>
      <c r="E43" s="181"/>
      <c r="F43" s="181"/>
      <c r="G43" s="157">
        <f>768000</f>
        <v>768000</v>
      </c>
      <c r="H43" s="156"/>
      <c r="I43" s="156"/>
      <c r="J43" s="156"/>
    </row>
    <row r="44" spans="1:250" s="92" customFormat="1" ht="12.75" customHeight="1" x14ac:dyDescent="0.2">
      <c r="A44" s="178" t="s">
        <v>109</v>
      </c>
      <c r="B44" s="179"/>
      <c r="C44" s="179"/>
      <c r="D44" s="180"/>
      <c r="E44" s="181"/>
      <c r="F44" s="181"/>
      <c r="G44" s="157"/>
      <c r="H44" s="156">
        <v>500000</v>
      </c>
      <c r="I44" s="156">
        <v>500000</v>
      </c>
      <c r="J44" s="156">
        <v>500000</v>
      </c>
      <c r="K44" s="54"/>
      <c r="L44" s="91"/>
      <c r="M44" s="54"/>
      <c r="N44" s="91"/>
      <c r="O44" s="54"/>
      <c r="P44" s="54"/>
    </row>
    <row r="45" spans="1:250" s="92" customFormat="1" ht="12.75" customHeight="1" x14ac:dyDescent="0.2">
      <c r="A45" s="235" t="s">
        <v>86</v>
      </c>
      <c r="B45" s="236"/>
      <c r="C45" s="236"/>
      <c r="D45" s="237"/>
      <c r="E45" s="238"/>
      <c r="F45" s="238"/>
      <c r="G45" s="239">
        <v>300000</v>
      </c>
      <c r="H45" s="240">
        <f>300000+167437</f>
        <v>467437</v>
      </c>
      <c r="I45" s="240">
        <v>500000</v>
      </c>
      <c r="J45" s="240">
        <v>500000</v>
      </c>
      <c r="K45" s="54"/>
      <c r="L45" s="91"/>
      <c r="M45" s="54"/>
      <c r="N45" s="91"/>
      <c r="O45" s="54"/>
      <c r="P45" s="54"/>
    </row>
    <row r="46" spans="1:250" s="42" customFormat="1" ht="12.75" customHeight="1" x14ac:dyDescent="0.2">
      <c r="A46" s="20" t="s">
        <v>23</v>
      </c>
      <c r="B46" s="21"/>
      <c r="C46" s="21"/>
      <c r="D46" s="71">
        <f>SUM(D32:D45)</f>
        <v>0</v>
      </c>
      <c r="E46" s="172">
        <f t="shared" ref="E46:J46" si="8">SUM(E31:E45)</f>
        <v>2415000</v>
      </c>
      <c r="F46" s="172">
        <f t="shared" si="8"/>
        <v>1857900</v>
      </c>
      <c r="G46" s="149">
        <f t="shared" si="8"/>
        <v>3584420</v>
      </c>
      <c r="H46" s="72">
        <f t="shared" si="8"/>
        <v>3510853</v>
      </c>
      <c r="I46" s="72">
        <f t="shared" si="8"/>
        <v>2347763</v>
      </c>
      <c r="J46" s="72">
        <f t="shared" si="8"/>
        <v>2909440</v>
      </c>
      <c r="IG46" s="43"/>
      <c r="IH46" s="43"/>
      <c r="II46" s="43"/>
      <c r="IJ46" s="43"/>
      <c r="IK46" s="43"/>
      <c r="IL46" s="43"/>
      <c r="IM46" s="43"/>
      <c r="IN46" s="43"/>
      <c r="IO46" s="43"/>
      <c r="IP46" s="43"/>
    </row>
    <row r="47" spans="1:250" s="69" customFormat="1" ht="12.75" customHeight="1" x14ac:dyDescent="0.2">
      <c r="A47" s="73" t="s">
        <v>45</v>
      </c>
      <c r="B47" s="74"/>
      <c r="C47" s="74"/>
      <c r="D47" s="75">
        <v>114220856</v>
      </c>
      <c r="E47" s="173">
        <f t="shared" ref="E47:J47" si="9">E27+E46</f>
        <v>114770442</v>
      </c>
      <c r="F47" s="173">
        <f t="shared" si="9"/>
        <v>114213342</v>
      </c>
      <c r="G47" s="150">
        <f t="shared" si="9"/>
        <v>117797762</v>
      </c>
      <c r="H47" s="76">
        <f t="shared" si="9"/>
        <v>121308615</v>
      </c>
      <c r="I47" s="76">
        <f t="shared" si="9"/>
        <v>123656378</v>
      </c>
      <c r="J47" s="76">
        <f t="shared" si="9"/>
        <v>126565818</v>
      </c>
      <c r="K47" s="42"/>
      <c r="L47" s="42"/>
      <c r="M47" s="42"/>
      <c r="N47" s="42"/>
      <c r="O47" s="42"/>
      <c r="P47" s="42"/>
    </row>
    <row r="48" spans="1:250" s="42" customFormat="1" ht="12.75" customHeight="1" x14ac:dyDescent="0.2">
      <c r="A48" s="77"/>
      <c r="B48" s="78"/>
      <c r="C48" s="78"/>
      <c r="D48" s="79"/>
      <c r="E48" s="174"/>
      <c r="F48" s="174"/>
      <c r="G48" s="151"/>
      <c r="H48" s="80"/>
      <c r="I48" s="80"/>
      <c r="J48" s="80"/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69" customFormat="1" ht="12.75" customHeight="1" thickBot="1" x14ac:dyDescent="0.25">
      <c r="A49" s="81" t="s">
        <v>24</v>
      </c>
      <c r="B49" s="82"/>
      <c r="C49" s="82"/>
      <c r="D49" s="83">
        <f t="shared" ref="D49:J49" si="10">D26-D47</f>
        <v>-7779000</v>
      </c>
      <c r="E49" s="175">
        <f t="shared" si="10"/>
        <v>-753910</v>
      </c>
      <c r="F49" s="175">
        <f t="shared" si="10"/>
        <v>-706700</v>
      </c>
      <c r="G49" s="84">
        <f t="shared" si="10"/>
        <v>-179640</v>
      </c>
      <c r="H49" s="84">
        <f t="shared" si="10"/>
        <v>463807</v>
      </c>
      <c r="I49" s="84">
        <f t="shared" si="10"/>
        <v>2321664</v>
      </c>
      <c r="J49" s="84">
        <f t="shared" si="10"/>
        <v>3138224</v>
      </c>
      <c r="K49" s="42"/>
      <c r="L49" s="85"/>
      <c r="M49" s="42"/>
      <c r="N49" s="42"/>
      <c r="O49" s="42"/>
      <c r="P49" s="42"/>
    </row>
    <row r="50" spans="1:250" s="92" customFormat="1" ht="12.75" customHeight="1" thickTop="1" x14ac:dyDescent="0.2">
      <c r="A50" s="86"/>
      <c r="B50" s="87"/>
      <c r="C50" s="88"/>
      <c r="D50" s="89"/>
      <c r="E50" s="105"/>
      <c r="F50" s="214"/>
      <c r="G50" s="129"/>
      <c r="H50" s="90"/>
      <c r="I50" s="90"/>
      <c r="J50" s="90"/>
      <c r="K50" s="91"/>
      <c r="L50" s="54"/>
      <c r="M50" s="91"/>
      <c r="N50" s="54"/>
      <c r="O50" s="54"/>
    </row>
    <row r="51" spans="1:250" s="69" customFormat="1" ht="12.75" customHeight="1" x14ac:dyDescent="0.2">
      <c r="A51" s="93" t="s">
        <v>59</v>
      </c>
      <c r="B51" s="87"/>
      <c r="C51" s="87"/>
      <c r="D51" s="95"/>
      <c r="E51" s="105"/>
      <c r="F51" s="214"/>
      <c r="G51" s="129"/>
      <c r="H51" s="90"/>
      <c r="I51" s="90"/>
      <c r="J51" s="90"/>
      <c r="K51" s="42"/>
      <c r="L51" s="68"/>
      <c r="M51" s="42"/>
      <c r="N51" s="68"/>
      <c r="O51" s="42"/>
      <c r="P51" s="42"/>
    </row>
    <row r="52" spans="1:250" s="92" customFormat="1" ht="12.75" customHeight="1" x14ac:dyDescent="0.2">
      <c r="A52" s="241" t="s">
        <v>25</v>
      </c>
      <c r="B52" s="242"/>
      <c r="C52" s="242"/>
      <c r="D52" s="243"/>
      <c r="E52" s="244">
        <v>300000</v>
      </c>
      <c r="F52" s="244">
        <v>300000</v>
      </c>
      <c r="G52" s="245" t="s">
        <v>106</v>
      </c>
      <c r="H52" s="245"/>
      <c r="I52" s="245"/>
      <c r="J52" s="245"/>
      <c r="K52" s="54"/>
      <c r="L52" s="91"/>
      <c r="M52" s="54"/>
      <c r="N52" s="91"/>
      <c r="O52" s="54"/>
      <c r="P52" s="54"/>
    </row>
    <row r="53" spans="1:250" s="92" customFormat="1" ht="12.75" customHeight="1" x14ac:dyDescent="0.2">
      <c r="A53" s="241" t="s">
        <v>85</v>
      </c>
      <c r="B53" s="242"/>
      <c r="C53" s="242"/>
      <c r="D53" s="243"/>
      <c r="E53" s="244"/>
      <c r="F53" s="244"/>
      <c r="G53" s="245">
        <v>95000</v>
      </c>
      <c r="H53" s="245">
        <v>95000</v>
      </c>
      <c r="I53" s="245">
        <v>95000</v>
      </c>
      <c r="J53" s="245"/>
      <c r="K53" s="54"/>
      <c r="L53" s="91"/>
      <c r="M53" s="54"/>
      <c r="N53" s="91"/>
      <c r="O53" s="54"/>
      <c r="P53" s="54"/>
    </row>
    <row r="54" spans="1:250" s="92" customFormat="1" ht="12.75" customHeight="1" x14ac:dyDescent="0.2">
      <c r="A54" s="241" t="s">
        <v>28</v>
      </c>
      <c r="B54" s="242"/>
      <c r="C54" s="242"/>
      <c r="D54" s="243"/>
      <c r="E54" s="244">
        <v>300000</v>
      </c>
      <c r="F54" s="244">
        <v>300000</v>
      </c>
      <c r="G54" s="245">
        <v>300000</v>
      </c>
      <c r="H54" s="245"/>
      <c r="I54" s="245"/>
      <c r="J54" s="245"/>
      <c r="K54" s="54"/>
      <c r="L54" s="91"/>
      <c r="M54" s="54"/>
      <c r="N54" s="91"/>
      <c r="O54" s="54"/>
      <c r="P54" s="54"/>
    </row>
    <row r="55" spans="1:250" s="92" customFormat="1" ht="12.75" customHeight="1" x14ac:dyDescent="0.2">
      <c r="A55" s="241" t="s">
        <v>42</v>
      </c>
      <c r="B55" s="242"/>
      <c r="C55" s="242"/>
      <c r="D55" s="243"/>
      <c r="E55" s="244">
        <v>115000</v>
      </c>
      <c r="F55" s="244">
        <v>115000</v>
      </c>
      <c r="G55" s="245"/>
      <c r="H55" s="245"/>
      <c r="I55" s="245"/>
      <c r="J55" s="245"/>
      <c r="K55" s="54"/>
      <c r="L55" s="91"/>
      <c r="M55" s="54"/>
      <c r="N55" s="91"/>
      <c r="O55" s="54"/>
      <c r="P55" s="54"/>
    </row>
    <row r="56" spans="1:250" s="92" customFormat="1" ht="12.75" customHeight="1" x14ac:dyDescent="0.2">
      <c r="A56" s="208" t="s">
        <v>27</v>
      </c>
      <c r="B56" s="204"/>
      <c r="C56" s="204"/>
      <c r="D56" s="205"/>
      <c r="E56" s="206">
        <v>500000</v>
      </c>
      <c r="F56" s="206">
        <v>500000</v>
      </c>
      <c r="G56" s="207">
        <v>239870</v>
      </c>
      <c r="H56" s="207">
        <v>303450</v>
      </c>
      <c r="I56" s="207">
        <v>289000</v>
      </c>
      <c r="J56" s="207">
        <v>245650</v>
      </c>
      <c r="K56" s="54"/>
      <c r="L56" s="91"/>
      <c r="M56" s="54"/>
      <c r="N56" s="91"/>
      <c r="O56" s="54"/>
      <c r="P56" s="54"/>
    </row>
    <row r="57" spans="1:250" s="92" customFormat="1" ht="12.75" customHeight="1" x14ac:dyDescent="0.2">
      <c r="A57" s="241" t="s">
        <v>29</v>
      </c>
      <c r="B57" s="242"/>
      <c r="C57" s="242"/>
      <c r="D57" s="243"/>
      <c r="E57" s="244">
        <v>406000</v>
      </c>
      <c r="F57" s="244">
        <v>406000</v>
      </c>
      <c r="G57" s="245"/>
      <c r="H57" s="245"/>
      <c r="I57" s="245"/>
      <c r="J57" s="245"/>
      <c r="K57" s="54"/>
      <c r="L57" s="91"/>
      <c r="M57" s="54"/>
      <c r="N57" s="91"/>
      <c r="O57" s="54"/>
      <c r="P57" s="54"/>
    </row>
    <row r="58" spans="1:250" s="92" customFormat="1" ht="12.75" customHeight="1" x14ac:dyDescent="0.2">
      <c r="A58" s="86"/>
      <c r="B58" s="96"/>
      <c r="C58" s="96"/>
      <c r="D58" s="95"/>
      <c r="E58" s="105"/>
      <c r="F58" s="105"/>
      <c r="G58" s="129"/>
      <c r="H58" s="90"/>
      <c r="I58" s="90"/>
      <c r="J58" s="90"/>
      <c r="K58" s="54"/>
      <c r="L58" s="91"/>
      <c r="M58" s="54"/>
      <c r="N58" s="91"/>
      <c r="O58" s="54"/>
      <c r="P58" s="54"/>
    </row>
    <row r="59" spans="1:250" s="69" customFormat="1" ht="12.75" customHeight="1" x14ac:dyDescent="0.2">
      <c r="A59" s="93" t="s">
        <v>60</v>
      </c>
      <c r="B59" s="87"/>
      <c r="C59" s="87"/>
      <c r="D59" s="97"/>
      <c r="E59" s="176">
        <f t="shared" ref="E59:J59" si="11">SUM(E52:E58)</f>
        <v>1621000</v>
      </c>
      <c r="F59" s="176">
        <f t="shared" si="11"/>
        <v>1621000</v>
      </c>
      <c r="G59" s="152">
        <f t="shared" si="11"/>
        <v>634870</v>
      </c>
      <c r="H59" s="98">
        <f t="shared" si="11"/>
        <v>398450</v>
      </c>
      <c r="I59" s="98">
        <f t="shared" si="11"/>
        <v>384000</v>
      </c>
      <c r="J59" s="98">
        <f t="shared" si="11"/>
        <v>245650</v>
      </c>
      <c r="K59" s="99"/>
      <c r="L59" s="100"/>
      <c r="M59" s="99"/>
      <c r="N59" s="100"/>
      <c r="O59" s="99"/>
      <c r="P59" s="99"/>
    </row>
    <row r="60" spans="1:250" s="69" customFormat="1" ht="12.75" customHeight="1" x14ac:dyDescent="0.2">
      <c r="A60" s="93"/>
      <c r="B60" s="87"/>
      <c r="C60" s="87"/>
      <c r="D60" s="95"/>
      <c r="E60" s="105"/>
      <c r="F60" s="105"/>
      <c r="G60" s="129"/>
      <c r="H60" s="90"/>
      <c r="I60" s="90"/>
      <c r="J60" s="90"/>
      <c r="K60" s="42"/>
      <c r="L60" s="68"/>
      <c r="M60" s="42"/>
      <c r="N60" s="68"/>
      <c r="O60" s="42"/>
      <c r="P60" s="42"/>
    </row>
    <row r="61" spans="1:250" s="42" customFormat="1" ht="12.75" customHeight="1" thickBot="1" x14ac:dyDescent="0.25">
      <c r="A61" s="101" t="s">
        <v>30</v>
      </c>
      <c r="B61" s="102"/>
      <c r="C61" s="102"/>
      <c r="D61" s="103">
        <f t="shared" ref="D61:I61" si="12">D49-D59</f>
        <v>-7779000</v>
      </c>
      <c r="E61" s="103">
        <f t="shared" si="12"/>
        <v>-2374910</v>
      </c>
      <c r="F61" s="103">
        <f t="shared" si="12"/>
        <v>-2327700</v>
      </c>
      <c r="G61" s="153">
        <f t="shared" si="12"/>
        <v>-814510</v>
      </c>
      <c r="H61" s="104">
        <f t="shared" si="12"/>
        <v>65357</v>
      </c>
      <c r="I61" s="104">
        <f t="shared" si="12"/>
        <v>1937664</v>
      </c>
      <c r="J61" s="104">
        <f>J49-J59</f>
        <v>2892574</v>
      </c>
      <c r="IG61" s="43"/>
      <c r="IH61" s="43"/>
      <c r="II61" s="43"/>
      <c r="IJ61" s="43"/>
      <c r="IK61" s="43"/>
      <c r="IL61" s="43"/>
      <c r="IM61" s="43"/>
      <c r="IN61" s="43"/>
      <c r="IO61" s="43"/>
      <c r="IP61" s="43"/>
    </row>
    <row r="62" spans="1:250" s="92" customFormat="1" ht="12.75" customHeight="1" thickTop="1" x14ac:dyDescent="0.2">
      <c r="A62" s="86"/>
      <c r="B62" s="87"/>
      <c r="C62" s="94"/>
      <c r="D62" s="105"/>
      <c r="E62" s="105"/>
      <c r="F62" s="105"/>
      <c r="G62" s="129"/>
      <c r="H62" s="90"/>
      <c r="I62" s="90"/>
      <c r="J62" s="90"/>
      <c r="K62" s="91"/>
      <c r="L62" s="54"/>
      <c r="M62" s="91"/>
      <c r="N62" s="54"/>
      <c r="O62" s="54"/>
    </row>
    <row r="63" spans="1:250" s="92" customFormat="1" ht="12.75" customHeight="1" x14ac:dyDescent="0.2">
      <c r="A63" s="86" t="s">
        <v>52</v>
      </c>
      <c r="B63" s="87"/>
      <c r="C63" s="94"/>
      <c r="D63" s="105"/>
      <c r="E63" s="105">
        <v>10331928</v>
      </c>
      <c r="F63" s="105">
        <v>9145975</v>
      </c>
      <c r="G63" s="129">
        <f>F64</f>
        <v>6818275</v>
      </c>
      <c r="H63" s="90">
        <f>G64</f>
        <v>6003765</v>
      </c>
      <c r="I63" s="90">
        <f>H64</f>
        <v>6069122</v>
      </c>
      <c r="J63" s="90">
        <f>I64</f>
        <v>8006786</v>
      </c>
      <c r="K63" s="91"/>
      <c r="L63" s="54"/>
      <c r="M63" s="91"/>
      <c r="N63" s="54"/>
      <c r="O63" s="54"/>
    </row>
    <row r="64" spans="1:250" s="92" customFormat="1" ht="12.75" customHeight="1" thickBot="1" x14ac:dyDescent="0.25">
      <c r="A64" s="106" t="s">
        <v>95</v>
      </c>
      <c r="B64" s="107"/>
      <c r="C64" s="108"/>
      <c r="D64" s="109"/>
      <c r="E64" s="109">
        <f>E61+E63</f>
        <v>7957018</v>
      </c>
      <c r="F64" s="109">
        <f>F61+F63</f>
        <v>6818275</v>
      </c>
      <c r="G64" s="110">
        <f>G61+G63</f>
        <v>6003765</v>
      </c>
      <c r="H64" s="110">
        <f>H61+H63</f>
        <v>6069122</v>
      </c>
      <c r="I64" s="110">
        <f>I61+I63</f>
        <v>8006786</v>
      </c>
      <c r="J64" s="110">
        <f t="shared" ref="J64" si="13">J61+J63</f>
        <v>10899360</v>
      </c>
      <c r="K64" s="91"/>
      <c r="L64" s="54"/>
      <c r="M64" s="91"/>
      <c r="N64" s="54"/>
      <c r="O64" s="54"/>
    </row>
    <row r="65" spans="1:250" s="69" customFormat="1" ht="15.75" thickTop="1" x14ac:dyDescent="0.2">
      <c r="A65" s="111" t="s">
        <v>96</v>
      </c>
      <c r="B65" s="111"/>
      <c r="C65" s="111"/>
      <c r="D65" s="112"/>
      <c r="E65" s="215">
        <f>E64/E47</f>
        <v>6.9329854109998118E-2</v>
      </c>
      <c r="F65" s="215">
        <f>F64/F47</f>
        <v>5.9697710272763056E-2</v>
      </c>
      <c r="G65" s="227">
        <f t="shared" ref="G65:I65" si="14">G64/G47</f>
        <v>5.0966715309922445E-2</v>
      </c>
      <c r="H65" s="216">
        <f t="shared" si="14"/>
        <v>5.0030428589098966E-2</v>
      </c>
      <c r="I65" s="216">
        <f t="shared" si="14"/>
        <v>6.4750287284008917E-2</v>
      </c>
      <c r="J65" s="216">
        <f>J64/J47</f>
        <v>8.6116142353696162E-2</v>
      </c>
      <c r="K65" s="42"/>
      <c r="L65" s="85"/>
      <c r="M65" s="42"/>
      <c r="N65" s="42"/>
      <c r="O65" s="42"/>
      <c r="P65" s="42"/>
    </row>
    <row r="66" spans="1:250" s="69" customFormat="1" ht="15" x14ac:dyDescent="0.2">
      <c r="A66" s="21" t="s">
        <v>97</v>
      </c>
      <c r="B66" s="21"/>
      <c r="C66" s="21"/>
      <c r="D66" s="197"/>
      <c r="E66" s="217">
        <f>E47*0.05</f>
        <v>5738522.1000000006</v>
      </c>
      <c r="F66" s="217">
        <f>F47*0.05</f>
        <v>5710667.1000000006</v>
      </c>
      <c r="G66" s="228">
        <f>G47*0.05</f>
        <v>5889888.1000000006</v>
      </c>
      <c r="H66" s="218">
        <f t="shared" ref="H66:I66" si="15">H47*0.05</f>
        <v>6065430.75</v>
      </c>
      <c r="I66" s="218">
        <f t="shared" si="15"/>
        <v>6182818.9000000004</v>
      </c>
      <c r="J66" s="218">
        <f>J47*0.05</f>
        <v>6328290.9000000004</v>
      </c>
      <c r="K66" s="42"/>
      <c r="L66" s="85"/>
      <c r="M66" s="42"/>
      <c r="N66" s="42"/>
      <c r="O66" s="42"/>
      <c r="P66" s="42"/>
    </row>
    <row r="67" spans="1:250" s="69" customFormat="1" ht="15" x14ac:dyDescent="0.2">
      <c r="A67" s="199" t="s">
        <v>98</v>
      </c>
      <c r="B67" s="199"/>
      <c r="C67" s="199"/>
      <c r="D67" s="200"/>
      <c r="E67" s="201">
        <f>E64-E66</f>
        <v>2218495.8999999994</v>
      </c>
      <c r="F67" s="201">
        <f>F64-F66</f>
        <v>1107607.8999999994</v>
      </c>
      <c r="G67" s="201">
        <f>G64-G66</f>
        <v>113876.89999999944</v>
      </c>
      <c r="H67" s="201">
        <f t="shared" ref="H67:J67" si="16">H64-H66</f>
        <v>3691.25</v>
      </c>
      <c r="I67" s="201">
        <f t="shared" si="16"/>
        <v>1823967.0999999996</v>
      </c>
      <c r="J67" s="201">
        <f t="shared" si="16"/>
        <v>4571069.0999999996</v>
      </c>
      <c r="K67" s="42"/>
      <c r="L67" s="85"/>
      <c r="M67" s="42"/>
      <c r="N67" s="42"/>
      <c r="O67" s="42"/>
      <c r="P67" s="42"/>
    </row>
    <row r="68" spans="1:250" s="42" customFormat="1" ht="14.25" hidden="1" customHeight="1" x14ac:dyDescent="0.2">
      <c r="A68" s="123" t="s">
        <v>43</v>
      </c>
      <c r="B68" s="123"/>
      <c r="C68" s="123"/>
      <c r="D68" s="123"/>
      <c r="E68" s="123"/>
      <c r="F68" s="123"/>
      <c r="G68" s="123"/>
      <c r="H68" s="123"/>
      <c r="I68" s="123"/>
      <c r="J68" s="123"/>
      <c r="IG68" s="43"/>
      <c r="IH68" s="43"/>
      <c r="II68" s="43"/>
      <c r="IJ68" s="43"/>
      <c r="IK68" s="43"/>
      <c r="IL68" s="43"/>
      <c r="IM68" s="43"/>
      <c r="IN68" s="43"/>
      <c r="IO68" s="43"/>
      <c r="IP68" s="43"/>
    </row>
    <row r="69" spans="1:250" s="113" customFormat="1" ht="15" hidden="1" x14ac:dyDescent="0.2">
      <c r="A69" s="122" t="s">
        <v>53</v>
      </c>
      <c r="B69" s="122"/>
      <c r="C69" s="122"/>
      <c r="D69" s="122"/>
      <c r="E69" s="122"/>
      <c r="F69" s="122"/>
      <c r="G69" s="122"/>
      <c r="H69" s="12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3"/>
      <c r="IH69" s="43"/>
      <c r="II69" s="43"/>
      <c r="IJ69" s="43"/>
      <c r="IK69" s="43"/>
      <c r="IL69" s="43"/>
      <c r="IM69" s="43"/>
      <c r="IN69" s="43"/>
      <c r="IO69" s="43"/>
      <c r="IP69" s="43"/>
    </row>
    <row r="70" spans="1:250" s="42" customFormat="1" ht="14.25" hidden="1" customHeight="1" x14ac:dyDescent="0.2">
      <c r="A70" s="123" t="s">
        <v>61</v>
      </c>
      <c r="B70" s="123"/>
      <c r="C70" s="123"/>
      <c r="D70" s="123"/>
      <c r="E70" s="123"/>
      <c r="F70" s="123"/>
      <c r="G70" s="123"/>
      <c r="H70" s="123"/>
      <c r="I70" s="123"/>
      <c r="J70" s="123"/>
      <c r="IG70" s="43"/>
      <c r="IH70" s="43"/>
      <c r="II70" s="43"/>
      <c r="IJ70" s="43"/>
      <c r="IK70" s="43"/>
      <c r="IL70" s="43"/>
      <c r="IM70" s="43"/>
      <c r="IN70" s="43"/>
      <c r="IO70" s="43"/>
      <c r="IP70" s="43"/>
    </row>
    <row r="71" spans="1:250" s="113" customFormat="1" ht="14.25" hidden="1" customHeight="1" x14ac:dyDescent="0.2">
      <c r="A71" s="122" t="s">
        <v>55</v>
      </c>
      <c r="B71" s="122"/>
      <c r="C71" s="122"/>
      <c r="D71" s="122"/>
      <c r="E71" s="122"/>
      <c r="F71" s="122"/>
      <c r="G71" s="122"/>
      <c r="H71" s="122"/>
      <c r="I71" s="130"/>
      <c r="J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</row>
    <row r="72" spans="1:250" s="43" customFormat="1" ht="14.25" hidden="1" customHeight="1" x14ac:dyDescent="0.2">
      <c r="A72" s="132" t="s">
        <v>56</v>
      </c>
      <c r="B72" s="133"/>
      <c r="C72" s="134"/>
      <c r="D72" s="135"/>
      <c r="E72" s="130"/>
      <c r="F72" s="130"/>
      <c r="G72" s="130"/>
      <c r="H72" s="130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</row>
    <row r="73" spans="1:250" s="43" customFormat="1" ht="14.25" hidden="1" customHeight="1" x14ac:dyDescent="0.2">
      <c r="A73" s="42" t="s">
        <v>70</v>
      </c>
      <c r="B73" s="42"/>
      <c r="C73" s="42"/>
      <c r="D73" s="13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</row>
    <row r="74" spans="1:250" s="43" customFormat="1" ht="14.25" hidden="1" customHeight="1" x14ac:dyDescent="0.2">
      <c r="A74" s="132" t="s">
        <v>57</v>
      </c>
      <c r="B74" s="42"/>
      <c r="C74" s="42"/>
      <c r="D74" s="136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</row>
    <row r="75" spans="1:250" s="43" customFormat="1" hidden="1" x14ac:dyDescent="0.2">
      <c r="A75" s="380" t="s">
        <v>58</v>
      </c>
      <c r="B75" s="380"/>
      <c r="C75" s="380"/>
      <c r="D75" s="380"/>
      <c r="E75" s="380"/>
      <c r="F75" s="380"/>
      <c r="G75" s="380"/>
      <c r="H75" s="380"/>
      <c r="I75" s="380"/>
      <c r="J75" s="230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</row>
    <row r="76" spans="1:250" hidden="1" x14ac:dyDescent="0.2">
      <c r="A76" s="121"/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250" ht="12.75" hidden="1" customHeight="1" x14ac:dyDescent="0.2">
      <c r="A77" s="120" t="s">
        <v>31</v>
      </c>
      <c r="B77" s="118"/>
      <c r="C77" s="118"/>
      <c r="D77" s="119"/>
      <c r="E77" s="118"/>
      <c r="F77" s="118"/>
      <c r="G77" s="118"/>
      <c r="H77" s="118"/>
      <c r="I77" s="118"/>
      <c r="J77" s="118"/>
    </row>
    <row r="78" spans="1:250" ht="12.75" hidden="1" customHeight="1" x14ac:dyDescent="0.2">
      <c r="A78" s="5" t="s">
        <v>32</v>
      </c>
      <c r="B78" s="118"/>
      <c r="C78" s="118"/>
      <c r="D78" s="119"/>
      <c r="E78" s="118"/>
      <c r="F78" s="118"/>
      <c r="G78" s="118"/>
      <c r="H78" s="118"/>
      <c r="I78" s="118"/>
      <c r="J78" s="118"/>
    </row>
    <row r="79" spans="1:250" ht="12.75" hidden="1" customHeight="1" x14ac:dyDescent="0.2">
      <c r="A79" s="5" t="s">
        <v>33</v>
      </c>
      <c r="B79" s="118"/>
      <c r="C79" s="118"/>
      <c r="D79" s="119"/>
      <c r="E79" s="118"/>
      <c r="F79" s="118"/>
      <c r="G79" s="118"/>
      <c r="H79" s="118"/>
      <c r="I79" s="118"/>
      <c r="J79" s="118"/>
    </row>
    <row r="80" spans="1:250" ht="12.75" hidden="1" customHeight="1" x14ac:dyDescent="0.2">
      <c r="A80" s="5" t="s">
        <v>34</v>
      </c>
      <c r="B80" s="118"/>
      <c r="C80" s="118"/>
      <c r="D80" s="119"/>
      <c r="E80" s="118"/>
      <c r="F80" s="118"/>
      <c r="G80" s="118"/>
      <c r="H80" s="118"/>
      <c r="I80" s="118"/>
      <c r="J80" s="118"/>
    </row>
    <row r="81" spans="1:10" ht="12.75" hidden="1" customHeight="1" x14ac:dyDescent="0.2">
      <c r="A81" s="5" t="s">
        <v>35</v>
      </c>
      <c r="B81" s="118"/>
      <c r="C81" s="118"/>
      <c r="D81" s="119"/>
      <c r="E81" s="118"/>
      <c r="F81" s="118"/>
      <c r="G81" s="118"/>
      <c r="H81" s="118"/>
      <c r="I81" s="118"/>
      <c r="J81" s="118"/>
    </row>
    <row r="82" spans="1:10" ht="12.75" hidden="1" customHeight="1" x14ac:dyDescent="0.2">
      <c r="A82" s="5" t="s">
        <v>36</v>
      </c>
      <c r="B82" s="118"/>
      <c r="C82" s="118"/>
      <c r="D82" s="119"/>
      <c r="E82" s="118"/>
      <c r="F82" s="118"/>
      <c r="G82" s="118"/>
      <c r="H82" s="118"/>
      <c r="I82" s="118"/>
      <c r="J82" s="118"/>
    </row>
    <row r="83" spans="1:10" ht="12.75" hidden="1" customHeight="1" x14ac:dyDescent="0.2">
      <c r="A83" s="5" t="s">
        <v>37</v>
      </c>
      <c r="B83" s="118"/>
      <c r="C83" s="118"/>
      <c r="D83" s="119"/>
      <c r="E83" s="118"/>
      <c r="F83" s="118"/>
      <c r="G83" s="118"/>
      <c r="H83" s="118"/>
      <c r="I83" s="118"/>
      <c r="J83" s="118"/>
    </row>
    <row r="84" spans="1:10" hidden="1" x14ac:dyDescent="0.2">
      <c r="D84" s="116"/>
    </row>
    <row r="85" spans="1:10" hidden="1" x14ac:dyDescent="0.2">
      <c r="A85" s="114" t="s">
        <v>38</v>
      </c>
      <c r="D85" s="116"/>
    </row>
    <row r="86" spans="1:10" hidden="1" x14ac:dyDescent="0.2">
      <c r="A86" s="19" t="s">
        <v>39</v>
      </c>
      <c r="D86" s="116"/>
    </row>
    <row r="87" spans="1:10" hidden="1" x14ac:dyDescent="0.2">
      <c r="A87" s="19" t="s">
        <v>40</v>
      </c>
      <c r="D87" s="116"/>
    </row>
    <row r="88" spans="1:10" hidden="1" x14ac:dyDescent="0.2">
      <c r="A88" s="19" t="s">
        <v>41</v>
      </c>
      <c r="D88" s="116"/>
    </row>
  </sheetData>
  <sheetProtection selectLockedCells="1" selectUnlockedCells="1"/>
  <mergeCells count="1">
    <mergeCell ref="A75:I75"/>
  </mergeCells>
  <printOptions horizontalCentered="1"/>
  <pageMargins left="0.7" right="0.7" top="0.75" bottom="0.75" header="0.3" footer="0.3"/>
  <pageSetup scale="59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2"/>
  <sheetViews>
    <sheetView showGridLines="0" tabSelected="1" topLeftCell="B1" zoomScaleNormal="100" workbookViewId="0">
      <selection activeCell="K65" sqref="K65"/>
    </sheetView>
  </sheetViews>
  <sheetFormatPr defaultRowHeight="12.75" x14ac:dyDescent="0.2"/>
  <cols>
    <col min="1" max="1" width="3.28515625" style="250" hidden="1" customWidth="1"/>
    <col min="2" max="2" width="51.85546875" style="5" customWidth="1"/>
    <col min="3" max="5" width="13.140625" style="271" hidden="1" customWidth="1"/>
    <col min="6" max="6" width="13.140625" style="5" bestFit="1" customWidth="1"/>
    <col min="7" max="9" width="12.28515625" style="5" bestFit="1" customWidth="1"/>
    <col min="10" max="10" width="12.28515625" style="5" hidden="1" customWidth="1"/>
    <col min="11" max="11" width="17.7109375" style="5" bestFit="1" customWidth="1"/>
    <col min="12" max="12" width="10.7109375" style="5" customWidth="1"/>
    <col min="13" max="13" width="18" style="5" bestFit="1" customWidth="1"/>
    <col min="14" max="239" width="9.140625" style="5"/>
  </cols>
  <sheetData>
    <row r="1" spans="1:249" x14ac:dyDescent="0.2">
      <c r="A1" s="253"/>
    </row>
    <row r="2" spans="1:249" ht="57" customHeight="1" x14ac:dyDescent="0.2">
      <c r="A2" s="253"/>
      <c r="B2" s="256" t="s">
        <v>207</v>
      </c>
      <c r="C2" s="311" t="s">
        <v>130</v>
      </c>
      <c r="D2" s="311" t="s">
        <v>170</v>
      </c>
      <c r="E2" s="311" t="s">
        <v>129</v>
      </c>
      <c r="F2" s="137" t="s">
        <v>132</v>
      </c>
      <c r="G2" s="4" t="s">
        <v>133</v>
      </c>
      <c r="H2" s="4" t="s">
        <v>134</v>
      </c>
      <c r="I2" s="4" t="s">
        <v>135</v>
      </c>
      <c r="J2" s="4" t="s">
        <v>136</v>
      </c>
    </row>
    <row r="3" spans="1:249" ht="12" customHeight="1" x14ac:dyDescent="0.2">
      <c r="A3" s="253"/>
      <c r="B3" s="288"/>
      <c r="C3" s="312"/>
      <c r="D3" s="312"/>
      <c r="E3" s="312"/>
      <c r="F3" s="289"/>
      <c r="G3" s="290"/>
      <c r="H3" s="290"/>
      <c r="I3" s="290"/>
      <c r="J3" s="290"/>
    </row>
    <row r="4" spans="1:249" ht="15" hidden="1" customHeight="1" x14ac:dyDescent="0.2">
      <c r="A4" s="253"/>
      <c r="B4" s="288" t="s">
        <v>167</v>
      </c>
      <c r="C4" s="312"/>
      <c r="D4" s="312"/>
      <c r="E4" s="312"/>
      <c r="F4" s="301">
        <f>Enrollment!C2</f>
        <v>7251</v>
      </c>
      <c r="G4" s="302">
        <f>Enrollment!D2</f>
        <v>7351</v>
      </c>
      <c r="H4" s="302">
        <f>Enrollment!E2</f>
        <v>7451</v>
      </c>
      <c r="I4" s="302">
        <f>Enrollment!F2</f>
        <v>7551</v>
      </c>
      <c r="J4" s="302" t="e">
        <f>Enrollment!#REF!</f>
        <v>#REF!</v>
      </c>
    </row>
    <row r="5" spans="1:249" ht="15" hidden="1" customHeight="1" x14ac:dyDescent="0.2">
      <c r="A5" s="253"/>
      <c r="B5" s="288" t="s">
        <v>168</v>
      </c>
      <c r="C5" s="312"/>
      <c r="D5" s="312"/>
      <c r="E5" s="312"/>
      <c r="F5" s="301">
        <f>Enrollment!C6</f>
        <v>7787</v>
      </c>
      <c r="G5" s="302">
        <f>Enrollment!D6</f>
        <v>7891</v>
      </c>
      <c r="H5" s="302">
        <f>Enrollment!E6</f>
        <v>7995</v>
      </c>
      <c r="I5" s="302">
        <f>Enrollment!F6</f>
        <v>8099</v>
      </c>
      <c r="J5" s="302" t="e">
        <f>Enrollment!#REF!</f>
        <v>#REF!</v>
      </c>
    </row>
    <row r="6" spans="1:249" s="15" customFormat="1" ht="15" hidden="1" customHeight="1" x14ac:dyDescent="0.2">
      <c r="A6" s="252"/>
      <c r="B6" s="29"/>
      <c r="C6" s="313"/>
      <c r="D6" s="313"/>
      <c r="E6" s="313"/>
      <c r="F6" s="142"/>
      <c r="G6" s="31"/>
      <c r="H6" s="31"/>
      <c r="I6" s="31"/>
      <c r="J6" s="31"/>
      <c r="K6" s="126"/>
    </row>
    <row r="7" spans="1:249" s="69" customFormat="1" ht="15" customHeight="1" x14ac:dyDescent="0.2">
      <c r="A7" s="254"/>
      <c r="B7" s="21" t="s">
        <v>131</v>
      </c>
      <c r="C7" s="319">
        <v>17367277</v>
      </c>
      <c r="D7" s="319">
        <v>17367277</v>
      </c>
      <c r="E7" s="319">
        <v>17367277</v>
      </c>
      <c r="F7" s="144">
        <f>E57</f>
        <v>7628699</v>
      </c>
      <c r="G7" s="46">
        <f>F57</f>
        <v>7379903</v>
      </c>
      <c r="H7" s="46">
        <f>G57</f>
        <v>8226521</v>
      </c>
      <c r="I7" s="46">
        <f>H57</f>
        <v>11373609</v>
      </c>
      <c r="J7" s="46">
        <f>I57</f>
        <v>16241254</v>
      </c>
      <c r="K7" s="376"/>
    </row>
    <row r="8" spans="1:249" s="69" customFormat="1" ht="12" customHeight="1" x14ac:dyDescent="0.2">
      <c r="A8" s="254"/>
      <c r="B8" s="21"/>
      <c r="C8" s="319"/>
      <c r="D8" s="319"/>
      <c r="E8" s="319"/>
      <c r="F8" s="142"/>
      <c r="G8" s="23"/>
      <c r="H8" s="23"/>
      <c r="I8" s="23"/>
      <c r="J8" s="23"/>
      <c r="K8" s="376"/>
    </row>
    <row r="9" spans="1:249" s="69" customFormat="1" ht="15" hidden="1" customHeight="1" x14ac:dyDescent="0.2">
      <c r="A9" s="254"/>
      <c r="B9" s="362" t="s">
        <v>9</v>
      </c>
      <c r="C9" s="320"/>
      <c r="D9" s="320"/>
      <c r="E9" s="320"/>
      <c r="F9" s="143"/>
      <c r="G9" s="51"/>
      <c r="H9" s="51"/>
      <c r="I9" s="51"/>
      <c r="J9" s="51"/>
      <c r="K9" s="376"/>
    </row>
    <row r="10" spans="1:249" s="42" customFormat="1" ht="15" hidden="1" customHeight="1" x14ac:dyDescent="0.2">
      <c r="A10" s="255">
        <v>1</v>
      </c>
      <c r="B10" s="48" t="s">
        <v>10</v>
      </c>
      <c r="C10" s="317">
        <v>60925100</v>
      </c>
      <c r="D10" s="317">
        <v>60415210</v>
      </c>
      <c r="E10" s="317">
        <v>60415210</v>
      </c>
      <c r="F10" s="128">
        <f>E15</f>
        <v>60415210</v>
      </c>
      <c r="G10" s="41">
        <f>F15</f>
        <v>65052210</v>
      </c>
      <c r="H10" s="41">
        <f>G15</f>
        <v>68468210</v>
      </c>
      <c r="I10" s="41">
        <f>H15</f>
        <v>72022210</v>
      </c>
      <c r="J10" s="41">
        <f>I15</f>
        <v>75717210</v>
      </c>
      <c r="IF10" s="43"/>
      <c r="IG10" s="43"/>
      <c r="IH10" s="43"/>
      <c r="II10" s="43"/>
      <c r="IJ10" s="43"/>
      <c r="IK10" s="43"/>
      <c r="IL10" s="43"/>
      <c r="IM10" s="43"/>
      <c r="IN10" s="43"/>
      <c r="IO10" s="43"/>
    </row>
    <row r="11" spans="1:249" s="42" customFormat="1" ht="15" hidden="1" customHeight="1" x14ac:dyDescent="0.2">
      <c r="A11" s="255" t="s">
        <v>126</v>
      </c>
      <c r="B11" s="195" t="s">
        <v>187</v>
      </c>
      <c r="C11" s="317"/>
      <c r="D11" s="317"/>
      <c r="E11" s="317"/>
      <c r="F11" s="128">
        <f>ROUND(142200000*0.026*0.9,-3)</f>
        <v>3327000</v>
      </c>
      <c r="G11" s="41">
        <f>ROUND(119500000*0.026*0.9,-3)</f>
        <v>2796000</v>
      </c>
      <c r="H11" s="41">
        <f>ROUND(124300000*0.026*0.9,-3)</f>
        <v>2909000</v>
      </c>
      <c r="I11" s="41">
        <f>ROUND(124300000*1.04*0.026*0.9,-3)</f>
        <v>3025000</v>
      </c>
      <c r="J11" s="41">
        <f>ROUND(124300000*1.04*0.026*0.8,-3)</f>
        <v>2689000</v>
      </c>
      <c r="K11" s="53">
        <v>2958000</v>
      </c>
      <c r="L11" s="53">
        <f>F11-K11</f>
        <v>369000</v>
      </c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s="42" customFormat="1" ht="15" hidden="1" customHeight="1" x14ac:dyDescent="0.2">
      <c r="A12" s="337"/>
      <c r="B12" s="195" t="s">
        <v>87</v>
      </c>
      <c r="C12" s="317"/>
      <c r="D12" s="317"/>
      <c r="E12" s="317"/>
      <c r="F12" s="128"/>
      <c r="G12" s="41">
        <v>0</v>
      </c>
      <c r="H12" s="41">
        <v>0</v>
      </c>
      <c r="I12" s="41">
        <v>0</v>
      </c>
      <c r="J12" s="41">
        <f>ROUND(124300000*1.04*0.026*0.1,-3)</f>
        <v>336000</v>
      </c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249" s="42" customFormat="1" ht="15" hidden="1" customHeight="1" x14ac:dyDescent="0.2">
      <c r="A13" s="255" t="s">
        <v>127</v>
      </c>
      <c r="B13" s="195" t="s">
        <v>65</v>
      </c>
      <c r="C13" s="317"/>
      <c r="D13" s="317"/>
      <c r="E13" s="317"/>
      <c r="F13" s="128">
        <f>F34</f>
        <v>350000</v>
      </c>
      <c r="G13" s="41">
        <f>G34-10000</f>
        <v>620000</v>
      </c>
      <c r="H13" s="41">
        <v>645000</v>
      </c>
      <c r="I13" s="41">
        <v>670000</v>
      </c>
      <c r="J13" s="41">
        <v>695000</v>
      </c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s="42" customFormat="1" ht="15" hidden="1" customHeight="1" x14ac:dyDescent="0.2">
      <c r="A14" s="255" t="s">
        <v>128</v>
      </c>
      <c r="B14" s="195" t="s">
        <v>151</v>
      </c>
      <c r="C14" s="317"/>
      <c r="D14" s="317"/>
      <c r="E14" s="317"/>
      <c r="F14" s="128">
        <v>960000</v>
      </c>
      <c r="G14" s="41"/>
      <c r="H14" s="41"/>
      <c r="I14" s="41"/>
      <c r="J14" s="41"/>
      <c r="IF14" s="43"/>
      <c r="IG14" s="43"/>
      <c r="IH14" s="43"/>
      <c r="II14" s="43"/>
      <c r="IJ14" s="43"/>
      <c r="IK14" s="43"/>
      <c r="IL14" s="43"/>
      <c r="IM14" s="43"/>
      <c r="IN14" s="43"/>
      <c r="IO14" s="43"/>
    </row>
    <row r="15" spans="1:249" s="42" customFormat="1" ht="15" hidden="1" customHeight="1" x14ac:dyDescent="0.2">
      <c r="A15" s="255"/>
      <c r="B15" s="45" t="s">
        <v>11</v>
      </c>
      <c r="C15" s="319">
        <f>C10</f>
        <v>60925100</v>
      </c>
      <c r="D15" s="319">
        <f>D10</f>
        <v>60415210</v>
      </c>
      <c r="E15" s="319">
        <f>SUM(E10:E13)</f>
        <v>60415210</v>
      </c>
      <c r="F15" s="144">
        <f>SUM(F10:F14)</f>
        <v>65052210</v>
      </c>
      <c r="G15" s="46">
        <f>SUM(G10:G14)</f>
        <v>68468210</v>
      </c>
      <c r="H15" s="46">
        <f>SUM(H10:H14)</f>
        <v>72022210</v>
      </c>
      <c r="I15" s="46">
        <f>SUM(I10:I14)</f>
        <v>75717210</v>
      </c>
      <c r="J15" s="46">
        <f>SUM(J10:J14)</f>
        <v>79437210</v>
      </c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s="42" customFormat="1" ht="15" hidden="1" customHeight="1" x14ac:dyDescent="0.2">
      <c r="A16" s="255">
        <v>2</v>
      </c>
      <c r="B16" s="48" t="s">
        <v>12</v>
      </c>
      <c r="C16" s="319"/>
      <c r="D16" s="319"/>
      <c r="E16" s="319"/>
      <c r="F16" s="144"/>
      <c r="G16" s="46"/>
      <c r="H16" s="46"/>
      <c r="I16" s="46"/>
      <c r="J16" s="46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s="42" customFormat="1" ht="15" hidden="1" customHeight="1" x14ac:dyDescent="0.2">
      <c r="A17" s="255"/>
      <c r="B17" s="39" t="s">
        <v>13</v>
      </c>
      <c r="C17" s="320">
        <v>43577000</v>
      </c>
      <c r="D17" s="320">
        <v>43577000</v>
      </c>
      <c r="E17" s="320">
        <v>43577000</v>
      </c>
      <c r="F17" s="139">
        <v>44340000</v>
      </c>
      <c r="G17" s="51">
        <v>44917000</v>
      </c>
      <c r="H17" s="51">
        <v>45492000</v>
      </c>
      <c r="I17" s="51">
        <v>46082000</v>
      </c>
      <c r="J17" s="51">
        <v>45929000</v>
      </c>
      <c r="K17" s="53">
        <v>44548000</v>
      </c>
      <c r="L17" s="53">
        <f>F17-K17</f>
        <v>-208000</v>
      </c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s="42" customFormat="1" ht="15" hidden="1" customHeight="1" x14ac:dyDescent="0.2">
      <c r="A18" s="255"/>
      <c r="B18" s="39" t="s">
        <v>14</v>
      </c>
      <c r="C18" s="320">
        <v>2139000</v>
      </c>
      <c r="D18" s="320">
        <v>2139000</v>
      </c>
      <c r="E18" s="320">
        <v>2139000</v>
      </c>
      <c r="F18" s="139">
        <v>1878000</v>
      </c>
      <c r="G18" s="51">
        <v>1918000</v>
      </c>
      <c r="H18" s="51">
        <v>1957000</v>
      </c>
      <c r="I18" s="51">
        <v>1997000</v>
      </c>
      <c r="J18" s="51">
        <v>2174000</v>
      </c>
      <c r="K18" s="5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s="42" customFormat="1" ht="15" hidden="1" customHeight="1" x14ac:dyDescent="0.2">
      <c r="A19" s="255"/>
      <c r="B19" s="39" t="s">
        <v>15</v>
      </c>
      <c r="C19" s="320">
        <v>2369000</v>
      </c>
      <c r="D19" s="320">
        <v>2369000</v>
      </c>
      <c r="E19" s="320">
        <v>2354000</v>
      </c>
      <c r="F19" s="139">
        <v>2449000</v>
      </c>
      <c r="G19" s="51">
        <v>2481000</v>
      </c>
      <c r="H19" s="51">
        <v>2513000</v>
      </c>
      <c r="I19" s="51">
        <v>2547000</v>
      </c>
      <c r="J19" s="51">
        <v>2552000</v>
      </c>
      <c r="K19" s="53">
        <v>2457000</v>
      </c>
      <c r="L19" s="53">
        <f>F19-K19</f>
        <v>-8000</v>
      </c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s="42" customFormat="1" ht="15" hidden="1" customHeight="1" x14ac:dyDescent="0.2">
      <c r="A20" s="255">
        <v>3</v>
      </c>
      <c r="B20" s="39" t="s">
        <v>122</v>
      </c>
      <c r="C20" s="320">
        <f>C21-C17-C18-C19</f>
        <v>5006432</v>
      </c>
      <c r="D20" s="320">
        <f>D21-D17-D18-D19</f>
        <v>5006432</v>
      </c>
      <c r="E20" s="320">
        <v>4909357</v>
      </c>
      <c r="F20" s="139">
        <f>C20</f>
        <v>5006432</v>
      </c>
      <c r="G20" s="51">
        <f>F20</f>
        <v>5006432</v>
      </c>
      <c r="H20" s="51">
        <f>G20</f>
        <v>5006432</v>
      </c>
      <c r="I20" s="51">
        <f>H20</f>
        <v>5006432</v>
      </c>
      <c r="J20" s="51">
        <f>I20</f>
        <v>5006432</v>
      </c>
      <c r="K20" s="53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s="99" customFormat="1" ht="15" hidden="1" customHeight="1" x14ac:dyDescent="0.2">
      <c r="A21" s="258"/>
      <c r="B21" s="45" t="s">
        <v>137</v>
      </c>
      <c r="C21" s="363">
        <v>53091432</v>
      </c>
      <c r="D21" s="363">
        <v>53091432</v>
      </c>
      <c r="E21" s="363">
        <f>SUM(E17:E20)</f>
        <v>52979357</v>
      </c>
      <c r="F21" s="359">
        <f t="shared" ref="F21:J21" si="0">SUM(F17:F20)</f>
        <v>53673432</v>
      </c>
      <c r="G21" s="374">
        <f t="shared" si="0"/>
        <v>54322432</v>
      </c>
      <c r="H21" s="374">
        <f t="shared" si="0"/>
        <v>54968432</v>
      </c>
      <c r="I21" s="374">
        <f t="shared" si="0"/>
        <v>55632432</v>
      </c>
      <c r="J21" s="374">
        <f t="shared" si="0"/>
        <v>55661432</v>
      </c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</row>
    <row r="22" spans="1:249" s="99" customFormat="1" ht="15" customHeight="1" x14ac:dyDescent="0.2">
      <c r="A22" s="254"/>
      <c r="B22" s="257" t="s">
        <v>138</v>
      </c>
      <c r="C22" s="320">
        <f>C21+C15</f>
        <v>114016532</v>
      </c>
      <c r="D22" s="320">
        <f>D21+D15</f>
        <v>113506642</v>
      </c>
      <c r="E22" s="320">
        <f>E21+E15</f>
        <v>113394567</v>
      </c>
      <c r="F22" s="139">
        <f t="shared" ref="F22:J22" si="1">F21+F15</f>
        <v>118725642</v>
      </c>
      <c r="G22" s="182">
        <f t="shared" si="1"/>
        <v>122790642</v>
      </c>
      <c r="H22" s="182">
        <f t="shared" si="1"/>
        <v>126990642</v>
      </c>
      <c r="I22" s="182">
        <f t="shared" si="1"/>
        <v>131349642</v>
      </c>
      <c r="J22" s="182">
        <f t="shared" si="1"/>
        <v>135098642</v>
      </c>
      <c r="K22" s="262"/>
      <c r="IF22" s="259"/>
      <c r="IG22" s="259"/>
      <c r="IH22" s="259"/>
      <c r="II22" s="259"/>
      <c r="IJ22" s="259"/>
      <c r="IK22" s="259"/>
      <c r="IL22" s="259"/>
      <c r="IM22" s="259"/>
      <c r="IN22" s="259"/>
      <c r="IO22" s="259"/>
    </row>
    <row r="23" spans="1:249" s="42" customFormat="1" ht="11.25" customHeight="1" x14ac:dyDescent="0.2">
      <c r="A23" s="255"/>
      <c r="B23" s="39"/>
      <c r="C23" s="320"/>
      <c r="D23" s="320"/>
      <c r="E23" s="320"/>
      <c r="F23" s="139"/>
      <c r="G23" s="51"/>
      <c r="H23" s="51"/>
      <c r="I23" s="51"/>
      <c r="J23" s="51"/>
      <c r="K23" s="5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s="42" customFormat="1" ht="15" hidden="1" customHeight="1" x14ac:dyDescent="0.2">
      <c r="A24" s="255"/>
      <c r="B24" s="362" t="s">
        <v>172</v>
      </c>
      <c r="C24" s="320"/>
      <c r="D24" s="320"/>
      <c r="E24" s="320"/>
      <c r="F24" s="139"/>
      <c r="G24" s="51"/>
      <c r="H24" s="51"/>
      <c r="I24" s="51"/>
      <c r="J24" s="51"/>
      <c r="K24" s="5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s="42" customFormat="1" ht="15" hidden="1" customHeight="1" x14ac:dyDescent="0.2">
      <c r="A25" s="255"/>
      <c r="B25" s="257" t="s">
        <v>139</v>
      </c>
      <c r="C25" s="320">
        <v>55359448</v>
      </c>
      <c r="D25" s="320">
        <v>55359448</v>
      </c>
      <c r="E25" s="320">
        <v>57013555</v>
      </c>
      <c r="F25" s="139">
        <f>C25</f>
        <v>55359448</v>
      </c>
      <c r="G25" s="51"/>
      <c r="H25" s="51"/>
      <c r="I25" s="51"/>
      <c r="J25" s="51"/>
      <c r="K25" s="5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s="99" customFormat="1" ht="15" hidden="1" customHeight="1" x14ac:dyDescent="0.2">
      <c r="A26" s="258"/>
      <c r="B26" s="257" t="s">
        <v>140</v>
      </c>
      <c r="C26" s="320">
        <v>26807706</v>
      </c>
      <c r="D26" s="320">
        <v>26807706</v>
      </c>
      <c r="E26" s="320">
        <v>26998187</v>
      </c>
      <c r="F26" s="139">
        <v>26807706</v>
      </c>
      <c r="G26" s="51"/>
      <c r="H26" s="51"/>
      <c r="I26" s="51"/>
      <c r="J26" s="51"/>
      <c r="K26" s="262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</row>
    <row r="27" spans="1:249" s="99" customFormat="1" ht="15" hidden="1" customHeight="1" x14ac:dyDescent="0.2">
      <c r="B27" s="257" t="s">
        <v>141</v>
      </c>
      <c r="C27" s="320">
        <v>14369030</v>
      </c>
      <c r="D27" s="320">
        <f>14369030-557100</f>
        <v>13811930</v>
      </c>
      <c r="E27" s="320">
        <v>13843111</v>
      </c>
      <c r="F27" s="139">
        <f>D27</f>
        <v>13811930</v>
      </c>
      <c r="G27" s="51"/>
      <c r="H27" s="51"/>
      <c r="I27" s="51"/>
      <c r="J27" s="51"/>
      <c r="K27" s="262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</row>
    <row r="28" spans="1:249" s="99" customFormat="1" ht="15" hidden="1" customHeight="1" x14ac:dyDescent="0.2">
      <c r="B28" s="257" t="s">
        <v>153</v>
      </c>
      <c r="C28" s="320">
        <f>17480348+753910</f>
        <v>18234258</v>
      </c>
      <c r="D28" s="320">
        <f>17480348+753910</f>
        <v>18234258</v>
      </c>
      <c r="E28" s="320">
        <v>26278292</v>
      </c>
      <c r="F28" s="139">
        <f>C28</f>
        <v>18234258</v>
      </c>
      <c r="G28" s="51"/>
      <c r="H28" s="51"/>
      <c r="I28" s="51"/>
      <c r="J28" s="51"/>
      <c r="K28" s="262"/>
      <c r="IF28" s="259"/>
      <c r="IG28" s="259"/>
      <c r="IH28" s="259"/>
      <c r="II28" s="259"/>
      <c r="IJ28" s="259"/>
      <c r="IK28" s="259"/>
      <c r="IL28" s="259"/>
      <c r="IM28" s="259"/>
      <c r="IN28" s="259"/>
      <c r="IO28" s="259"/>
    </row>
    <row r="29" spans="1:249" s="42" customFormat="1" ht="15" hidden="1" customHeight="1" x14ac:dyDescent="0.2">
      <c r="A29" s="255"/>
      <c r="B29" s="45" t="s">
        <v>171</v>
      </c>
      <c r="C29" s="326">
        <f>SUM(C25:C28)</f>
        <v>114770442</v>
      </c>
      <c r="D29" s="326">
        <f t="shared" ref="D29:E29" si="2">SUM(D25:D28)</f>
        <v>114213342</v>
      </c>
      <c r="E29" s="326">
        <f t="shared" si="2"/>
        <v>124133145</v>
      </c>
      <c r="F29" s="260">
        <f>SUM(F25:F28)</f>
        <v>114213342</v>
      </c>
      <c r="G29" s="261">
        <f>F29+F44</f>
        <v>118569838</v>
      </c>
      <c r="H29" s="261">
        <f>G29+G44</f>
        <v>121643464</v>
      </c>
      <c r="I29" s="261">
        <f>H29+H44</f>
        <v>123542994</v>
      </c>
      <c r="J29" s="261">
        <f>I29+I44</f>
        <v>126181437</v>
      </c>
      <c r="K29" s="53"/>
      <c r="IF29" s="43"/>
      <c r="IG29" s="43"/>
      <c r="IH29" s="43"/>
      <c r="II29" s="43"/>
      <c r="IJ29" s="43"/>
      <c r="IK29" s="43"/>
      <c r="IL29" s="43"/>
      <c r="IM29" s="43"/>
      <c r="IN29" s="43"/>
      <c r="IO29" s="43"/>
    </row>
    <row r="30" spans="1:249" s="99" customFormat="1" ht="15" hidden="1" customHeight="1" x14ac:dyDescent="0.2">
      <c r="B30" s="257"/>
      <c r="C30" s="320"/>
      <c r="D30" s="320"/>
      <c r="E30" s="320"/>
      <c r="F30" s="139"/>
      <c r="G30" s="51"/>
      <c r="H30" s="51"/>
      <c r="I30" s="51"/>
      <c r="J30" s="51"/>
      <c r="K30" s="262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</row>
    <row r="31" spans="1:249" s="42" customFormat="1" ht="15" hidden="1" customHeight="1" x14ac:dyDescent="0.2">
      <c r="A31" s="255">
        <v>4</v>
      </c>
      <c r="B31" s="257" t="s">
        <v>145</v>
      </c>
      <c r="C31" s="320"/>
      <c r="D31" s="320"/>
      <c r="E31" s="320"/>
      <c r="F31" s="139">
        <v>960000</v>
      </c>
      <c r="G31" s="51"/>
      <c r="H31" s="51"/>
      <c r="I31" s="51"/>
      <c r="J31" s="51"/>
      <c r="K31" s="53"/>
      <c r="IF31" s="43"/>
      <c r="IG31" s="43"/>
      <c r="IH31" s="43"/>
      <c r="II31" s="43"/>
      <c r="IJ31" s="43"/>
      <c r="IK31" s="43"/>
      <c r="IL31" s="43"/>
      <c r="IM31" s="43"/>
      <c r="IN31" s="43"/>
      <c r="IO31" s="43"/>
    </row>
    <row r="32" spans="1:249" s="42" customFormat="1" ht="15" hidden="1" customHeight="1" x14ac:dyDescent="0.2">
      <c r="A32" s="255">
        <v>5</v>
      </c>
      <c r="B32" s="257" t="s">
        <v>144</v>
      </c>
      <c r="C32" s="320"/>
      <c r="D32" s="320"/>
      <c r="E32" s="320"/>
      <c r="F32" s="139">
        <f>1150000</f>
        <v>1150000</v>
      </c>
      <c r="G32" s="51">
        <f>ROUND(F32*1.02,-3)</f>
        <v>1173000</v>
      </c>
      <c r="H32" s="51">
        <f t="shared" ref="H32:J32" si="3">ROUND(G32*1.02,-3)</f>
        <v>1196000</v>
      </c>
      <c r="I32" s="51">
        <f t="shared" si="3"/>
        <v>1220000</v>
      </c>
      <c r="J32" s="51">
        <f t="shared" si="3"/>
        <v>1244000</v>
      </c>
      <c r="K32" s="53"/>
      <c r="IF32" s="43"/>
      <c r="IG32" s="43"/>
      <c r="IH32" s="43"/>
      <c r="II32" s="43"/>
      <c r="IJ32" s="43"/>
      <c r="IK32" s="43"/>
      <c r="IL32" s="43"/>
      <c r="IM32" s="43"/>
      <c r="IN32" s="43"/>
      <c r="IO32" s="43"/>
    </row>
    <row r="33" spans="1:249" s="99" customFormat="1" ht="15" hidden="1" customHeight="1" x14ac:dyDescent="0.2">
      <c r="A33" s="255">
        <v>6</v>
      </c>
      <c r="B33" s="48" t="s">
        <v>21</v>
      </c>
      <c r="C33" s="320"/>
      <c r="D33" s="320"/>
      <c r="E33" s="320"/>
      <c r="F33" s="139">
        <f>540000/12*7+143000</f>
        <v>458000</v>
      </c>
      <c r="G33" s="51">
        <v>550000</v>
      </c>
      <c r="H33" s="51">
        <v>560000</v>
      </c>
      <c r="I33" s="51">
        <v>570000</v>
      </c>
      <c r="J33" s="51">
        <v>580000</v>
      </c>
      <c r="K33" s="262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</row>
    <row r="34" spans="1:249" s="99" customFormat="1" ht="15" hidden="1" customHeight="1" x14ac:dyDescent="0.2">
      <c r="A34" s="255">
        <v>7</v>
      </c>
      <c r="B34" s="257" t="s">
        <v>22</v>
      </c>
      <c r="C34" s="320"/>
      <c r="D34" s="320"/>
      <c r="E34" s="320"/>
      <c r="F34" s="139">
        <v>350000</v>
      </c>
      <c r="G34" s="51">
        <v>630000</v>
      </c>
      <c r="H34" s="51">
        <v>665000</v>
      </c>
      <c r="I34" s="51">
        <v>700000</v>
      </c>
      <c r="J34" s="51">
        <v>735000</v>
      </c>
      <c r="K34" s="262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</row>
    <row r="35" spans="1:249" s="99" customFormat="1" ht="15" hidden="1" customHeight="1" x14ac:dyDescent="0.2">
      <c r="A35" s="255">
        <v>8</v>
      </c>
      <c r="B35" s="257" t="s">
        <v>123</v>
      </c>
      <c r="C35" s="320"/>
      <c r="D35" s="320"/>
      <c r="E35" s="320"/>
      <c r="F35" s="139">
        <v>132000</v>
      </c>
      <c r="G35" s="51">
        <f>F35</f>
        <v>132000</v>
      </c>
      <c r="H35" s="51">
        <f>G35</f>
        <v>132000</v>
      </c>
      <c r="I35" s="51">
        <f>H35</f>
        <v>132000</v>
      </c>
      <c r="J35" s="51">
        <f>I35</f>
        <v>132000</v>
      </c>
      <c r="K35" s="262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</row>
    <row r="36" spans="1:249" s="99" customFormat="1" ht="15" hidden="1" customHeight="1" x14ac:dyDescent="0.2">
      <c r="A36" s="255">
        <v>9</v>
      </c>
      <c r="B36" s="257" t="s">
        <v>152</v>
      </c>
      <c r="C36" s="320"/>
      <c r="D36" s="320"/>
      <c r="E36" s="320"/>
      <c r="F36" s="139">
        <f>F19-C19</f>
        <v>80000</v>
      </c>
      <c r="G36" s="51">
        <f>G19-F19</f>
        <v>32000</v>
      </c>
      <c r="H36" s="51">
        <f t="shared" ref="H36:I36" si="4">H19-G19</f>
        <v>32000</v>
      </c>
      <c r="I36" s="51">
        <f t="shared" si="4"/>
        <v>34000</v>
      </c>
      <c r="J36" s="51">
        <f>J19-H19</f>
        <v>39000</v>
      </c>
      <c r="K36" s="262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</row>
    <row r="37" spans="1:249" s="99" customFormat="1" ht="15" hidden="1" customHeight="1" x14ac:dyDescent="0.2">
      <c r="A37" s="254">
        <v>10</v>
      </c>
      <c r="B37" s="257" t="s">
        <v>124</v>
      </c>
      <c r="C37" s="320"/>
      <c r="D37" s="320"/>
      <c r="E37" s="320"/>
      <c r="F37" s="139">
        <v>100000</v>
      </c>
      <c r="G37" s="51"/>
      <c r="H37" s="51"/>
      <c r="I37" s="51"/>
      <c r="J37" s="51"/>
      <c r="K37" s="262"/>
      <c r="L37" s="310"/>
      <c r="IF37" s="259"/>
      <c r="IG37" s="259"/>
      <c r="IH37" s="259"/>
      <c r="II37" s="259"/>
      <c r="IJ37" s="259"/>
      <c r="IK37" s="259"/>
      <c r="IL37" s="259"/>
      <c r="IM37" s="259"/>
      <c r="IN37" s="259"/>
      <c r="IO37" s="259"/>
    </row>
    <row r="38" spans="1:249" s="99" customFormat="1" ht="15" hidden="1" customHeight="1" x14ac:dyDescent="0.2">
      <c r="A38" s="254">
        <v>11</v>
      </c>
      <c r="B38" s="257" t="s">
        <v>88</v>
      </c>
      <c r="C38" s="320"/>
      <c r="D38" s="320"/>
      <c r="E38" s="320"/>
      <c r="F38" s="139">
        <f>F12</f>
        <v>0</v>
      </c>
      <c r="G38" s="51">
        <f>G12</f>
        <v>0</v>
      </c>
      <c r="H38" s="51">
        <f>H12</f>
        <v>0</v>
      </c>
      <c r="I38" s="51">
        <f>I12</f>
        <v>0</v>
      </c>
      <c r="J38" s="51">
        <f>J12</f>
        <v>336000</v>
      </c>
      <c r="K38" s="262"/>
      <c r="IF38" s="259"/>
      <c r="IG38" s="259"/>
      <c r="IH38" s="259"/>
      <c r="II38" s="259"/>
      <c r="IJ38" s="259"/>
      <c r="IK38" s="259"/>
      <c r="IL38" s="259"/>
      <c r="IM38" s="259"/>
      <c r="IN38" s="259"/>
      <c r="IO38" s="259"/>
    </row>
    <row r="39" spans="1:249" s="99" customFormat="1" ht="15" hidden="1" customHeight="1" x14ac:dyDescent="0.2">
      <c r="A39" s="254">
        <v>12</v>
      </c>
      <c r="B39" s="257" t="s">
        <v>67</v>
      </c>
      <c r="C39" s="320"/>
      <c r="D39" s="320"/>
      <c r="E39" s="320"/>
      <c r="F39" s="139"/>
      <c r="G39" s="182">
        <v>-300000</v>
      </c>
      <c r="H39" s="182">
        <v>-1200000</v>
      </c>
      <c r="I39" s="182">
        <v>-900000</v>
      </c>
      <c r="J39" s="182"/>
      <c r="K39" s="262"/>
      <c r="IF39" s="259"/>
      <c r="IG39" s="259"/>
      <c r="IH39" s="259"/>
      <c r="II39" s="259"/>
      <c r="IJ39" s="259"/>
      <c r="IK39" s="259"/>
      <c r="IL39" s="259"/>
      <c r="IM39" s="259"/>
      <c r="IN39" s="259"/>
      <c r="IO39" s="259"/>
    </row>
    <row r="40" spans="1:249" s="99" customFormat="1" ht="15" hidden="1" customHeight="1" x14ac:dyDescent="0.2">
      <c r="A40" s="254">
        <v>13</v>
      </c>
      <c r="B40" s="257" t="s">
        <v>68</v>
      </c>
      <c r="C40" s="320"/>
      <c r="D40" s="320"/>
      <c r="E40" s="320"/>
      <c r="F40" s="139"/>
      <c r="G40" s="182"/>
      <c r="H40" s="182">
        <v>-497000</v>
      </c>
      <c r="I40" s="182"/>
      <c r="J40" s="182"/>
      <c r="K40" s="262"/>
      <c r="IF40" s="259"/>
      <c r="IG40" s="259"/>
      <c r="IH40" s="259"/>
      <c r="II40" s="259"/>
      <c r="IJ40" s="259"/>
      <c r="IK40" s="259"/>
      <c r="IL40" s="259"/>
      <c r="IM40" s="259"/>
      <c r="IN40" s="259"/>
      <c r="IO40" s="259"/>
    </row>
    <row r="41" spans="1:249" s="99" customFormat="1" ht="15" customHeight="1" x14ac:dyDescent="0.2">
      <c r="A41" s="254">
        <v>14</v>
      </c>
      <c r="B41" s="257" t="s">
        <v>107</v>
      </c>
      <c r="C41" s="320"/>
      <c r="D41" s="320"/>
      <c r="E41" s="320"/>
      <c r="F41" s="139">
        <v>358496</v>
      </c>
      <c r="G41" s="182">
        <v>356626</v>
      </c>
      <c r="H41" s="182">
        <v>511530</v>
      </c>
      <c r="I41" s="182">
        <v>382443</v>
      </c>
      <c r="J41" s="182">
        <v>216750</v>
      </c>
      <c r="K41" s="262"/>
      <c r="IF41" s="259"/>
      <c r="IG41" s="259"/>
      <c r="IH41" s="259"/>
      <c r="II41" s="259"/>
      <c r="IJ41" s="259"/>
      <c r="IK41" s="259"/>
      <c r="IL41" s="259"/>
      <c r="IM41" s="259"/>
      <c r="IN41" s="259"/>
      <c r="IO41" s="259"/>
    </row>
    <row r="42" spans="1:249" s="99" customFormat="1" ht="15" customHeight="1" x14ac:dyDescent="0.2">
      <c r="A42" s="254"/>
      <c r="B42" s="257" t="s">
        <v>181</v>
      </c>
      <c r="C42" s="320"/>
      <c r="D42" s="320"/>
      <c r="E42" s="320"/>
      <c r="F42" s="139">
        <v>768000</v>
      </c>
      <c r="G42" s="182">
        <v>500000</v>
      </c>
      <c r="H42" s="182">
        <v>500000</v>
      </c>
      <c r="I42" s="182">
        <v>500000</v>
      </c>
      <c r="J42" s="182">
        <f>I42</f>
        <v>500000</v>
      </c>
      <c r="K42" s="262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</row>
    <row r="43" spans="1:249" s="43" customFormat="1" ht="15" customHeight="1" x14ac:dyDescent="0.2">
      <c r="A43" s="254">
        <v>15</v>
      </c>
      <c r="B43" s="350" t="s">
        <v>86</v>
      </c>
      <c r="C43" s="351"/>
      <c r="D43" s="351"/>
      <c r="E43" s="351"/>
      <c r="F43" s="352"/>
      <c r="G43" s="353"/>
      <c r="H43" s="353"/>
      <c r="I43" s="353"/>
      <c r="J43" s="18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</row>
    <row r="44" spans="1:249" s="99" customFormat="1" ht="15" hidden="1" customHeight="1" x14ac:dyDescent="0.2">
      <c r="A44" s="258"/>
      <c r="B44" s="45" t="s">
        <v>142</v>
      </c>
      <c r="C44" s="326">
        <f t="shared" ref="C44:J44" si="5">SUM(C31:C43)</f>
        <v>0</v>
      </c>
      <c r="D44" s="326">
        <f t="shared" si="5"/>
        <v>0</v>
      </c>
      <c r="E44" s="326">
        <f t="shared" si="5"/>
        <v>0</v>
      </c>
      <c r="F44" s="261">
        <f t="shared" si="5"/>
        <v>4356496</v>
      </c>
      <c r="G44" s="261">
        <f t="shared" si="5"/>
        <v>3073626</v>
      </c>
      <c r="H44" s="261">
        <f t="shared" si="5"/>
        <v>1899530</v>
      </c>
      <c r="I44" s="261">
        <f t="shared" si="5"/>
        <v>2638443</v>
      </c>
      <c r="J44" s="261">
        <f t="shared" si="5"/>
        <v>3782750</v>
      </c>
      <c r="K44" s="262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</row>
    <row r="45" spans="1:249" s="99" customFormat="1" ht="15" customHeight="1" x14ac:dyDescent="0.2">
      <c r="A45" s="254"/>
      <c r="B45" s="257" t="s">
        <v>169</v>
      </c>
      <c r="C45" s="320">
        <f t="shared" ref="C45:J45" si="6">C29+C44</f>
        <v>114770442</v>
      </c>
      <c r="D45" s="320">
        <f t="shared" si="6"/>
        <v>114213342</v>
      </c>
      <c r="E45" s="320">
        <f t="shared" si="6"/>
        <v>124133145</v>
      </c>
      <c r="F45" s="139">
        <f t="shared" si="6"/>
        <v>118569838</v>
      </c>
      <c r="G45" s="182">
        <f t="shared" si="6"/>
        <v>121643464</v>
      </c>
      <c r="H45" s="182">
        <f t="shared" si="6"/>
        <v>123542994</v>
      </c>
      <c r="I45" s="182">
        <f t="shared" si="6"/>
        <v>126181437</v>
      </c>
      <c r="J45" s="182">
        <f t="shared" si="6"/>
        <v>129964187</v>
      </c>
      <c r="K45" s="262"/>
      <c r="IF45" s="259"/>
      <c r="IG45" s="259"/>
      <c r="IH45" s="259"/>
      <c r="II45" s="259"/>
      <c r="IJ45" s="259"/>
      <c r="IK45" s="259"/>
      <c r="IL45" s="259"/>
      <c r="IM45" s="259"/>
      <c r="IN45" s="259"/>
      <c r="IO45" s="259"/>
    </row>
    <row r="46" spans="1:249" s="99" customFormat="1" ht="15" customHeight="1" x14ac:dyDescent="0.2">
      <c r="A46" s="258"/>
      <c r="B46" s="379" t="s">
        <v>24</v>
      </c>
      <c r="C46" s="373">
        <f>C22-C45</f>
        <v>-753910</v>
      </c>
      <c r="D46" s="373">
        <f>D22-D45</f>
        <v>-706700</v>
      </c>
      <c r="E46" s="373"/>
      <c r="F46" s="149">
        <f>F22-F45</f>
        <v>155804</v>
      </c>
      <c r="G46" s="72">
        <f>G22-G45</f>
        <v>1147178</v>
      </c>
      <c r="H46" s="72">
        <f>H22-H45</f>
        <v>3447648</v>
      </c>
      <c r="I46" s="72">
        <f>I22-I45</f>
        <v>5168205</v>
      </c>
      <c r="J46" s="261">
        <f>J22-J45</f>
        <v>5134455</v>
      </c>
      <c r="K46" s="262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</row>
    <row r="47" spans="1:249" s="99" customFormat="1" ht="11.25" customHeight="1" x14ac:dyDescent="0.2">
      <c r="A47" s="258"/>
      <c r="B47" s="45"/>
      <c r="C47" s="326"/>
      <c r="D47" s="326"/>
      <c r="E47" s="326"/>
      <c r="F47" s="260"/>
      <c r="G47" s="261"/>
      <c r="H47" s="261"/>
      <c r="I47" s="261"/>
      <c r="J47" s="261"/>
      <c r="K47" s="262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</row>
    <row r="48" spans="1:249" s="99" customFormat="1" ht="15" customHeight="1" x14ac:dyDescent="0.2">
      <c r="A48" s="258"/>
      <c r="B48" s="45" t="s">
        <v>202</v>
      </c>
      <c r="C48" s="326"/>
      <c r="D48" s="326"/>
      <c r="E48" s="326"/>
      <c r="F48" s="260"/>
      <c r="G48" s="261"/>
      <c r="H48" s="261"/>
      <c r="I48" s="261"/>
      <c r="J48" s="261"/>
      <c r="K48" s="262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</row>
    <row r="49" spans="1:239" s="43" customFormat="1" ht="15" hidden="1" customHeight="1" x14ac:dyDescent="0.2">
      <c r="A49" s="254">
        <v>16</v>
      </c>
      <c r="B49" s="195" t="s">
        <v>174</v>
      </c>
      <c r="C49" s="320"/>
      <c r="D49" s="320"/>
      <c r="E49" s="320">
        <v>-1000000</v>
      </c>
      <c r="F49" s="139"/>
      <c r="G49" s="182"/>
      <c r="H49" s="182"/>
      <c r="I49" s="182"/>
      <c r="J49" s="18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</row>
    <row r="50" spans="1:239" s="43" customFormat="1" ht="15" customHeight="1" x14ac:dyDescent="0.2">
      <c r="A50" s="254">
        <v>14</v>
      </c>
      <c r="B50" s="257" t="s">
        <v>148</v>
      </c>
      <c r="C50" s="320"/>
      <c r="D50" s="320"/>
      <c r="E50" s="320"/>
      <c r="F50" s="139">
        <v>404600</v>
      </c>
      <c r="G50" s="182">
        <v>300560</v>
      </c>
      <c r="H50" s="182">
        <v>300560</v>
      </c>
      <c r="I50" s="182">
        <v>300560</v>
      </c>
      <c r="J50" s="182">
        <f t="shared" ref="J50" si="7">I50</f>
        <v>300560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</row>
    <row r="51" spans="1:239" s="43" customFormat="1" ht="15" customHeight="1" x14ac:dyDescent="0.2">
      <c r="A51" s="254">
        <v>17</v>
      </c>
      <c r="B51" s="364" t="s">
        <v>186</v>
      </c>
      <c r="C51" s="354"/>
      <c r="D51" s="354"/>
      <c r="E51" s="354"/>
      <c r="F51" s="365"/>
      <c r="G51" s="372"/>
      <c r="H51" s="372"/>
      <c r="I51" s="372"/>
      <c r="J51" s="18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</row>
    <row r="52" spans="1:239" s="43" customFormat="1" ht="15" hidden="1" customHeight="1" x14ac:dyDescent="0.2">
      <c r="A52" s="254"/>
      <c r="B52" s="258" t="s">
        <v>150</v>
      </c>
      <c r="C52" s="326">
        <f>SUM(C48:C48)</f>
        <v>0</v>
      </c>
      <c r="D52" s="326">
        <f>SUM(D48:D48)</f>
        <v>0</v>
      </c>
      <c r="E52" s="326">
        <f t="shared" ref="E52:J52" si="8">SUM(E48:E51)</f>
        <v>-1000000</v>
      </c>
      <c r="F52" s="261">
        <f t="shared" si="8"/>
        <v>404600</v>
      </c>
      <c r="G52" s="261">
        <f t="shared" si="8"/>
        <v>300560</v>
      </c>
      <c r="H52" s="261">
        <f t="shared" si="8"/>
        <v>300560</v>
      </c>
      <c r="I52" s="261">
        <f t="shared" si="8"/>
        <v>300560</v>
      </c>
      <c r="J52" s="261">
        <f t="shared" si="8"/>
        <v>300560</v>
      </c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</row>
    <row r="53" spans="1:239" s="43" customFormat="1" ht="15" customHeight="1" x14ac:dyDescent="0.2">
      <c r="A53" s="254"/>
      <c r="B53" s="257" t="s">
        <v>143</v>
      </c>
      <c r="C53" s="320">
        <f>C45+C52</f>
        <v>114770442</v>
      </c>
      <c r="D53" s="320">
        <f t="shared" ref="D53:J53" si="9">D45+D52</f>
        <v>114213342</v>
      </c>
      <c r="E53" s="320">
        <f t="shared" si="9"/>
        <v>123133145</v>
      </c>
      <c r="F53" s="139">
        <f t="shared" si="9"/>
        <v>118974438</v>
      </c>
      <c r="G53" s="182">
        <f t="shared" si="9"/>
        <v>121944024</v>
      </c>
      <c r="H53" s="182">
        <f t="shared" si="9"/>
        <v>123843554</v>
      </c>
      <c r="I53" s="182">
        <f t="shared" si="9"/>
        <v>126481997</v>
      </c>
      <c r="J53" s="182">
        <f t="shared" si="9"/>
        <v>130264747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</row>
    <row r="54" spans="1:239" s="43" customFormat="1" ht="12" customHeight="1" x14ac:dyDescent="0.2">
      <c r="A54" s="254"/>
      <c r="B54" s="257"/>
      <c r="C54" s="320"/>
      <c r="D54" s="320"/>
      <c r="E54" s="320"/>
      <c r="F54" s="139"/>
      <c r="G54" s="182"/>
      <c r="H54" s="182"/>
      <c r="I54" s="182"/>
      <c r="J54" s="18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</row>
    <row r="55" spans="1:239" s="69" customFormat="1" ht="15" customHeight="1" x14ac:dyDescent="0.2">
      <c r="A55" s="254"/>
      <c r="B55" s="21" t="s">
        <v>146</v>
      </c>
      <c r="C55" s="319"/>
      <c r="D55" s="319"/>
      <c r="E55" s="319">
        <f t="shared" ref="E55:J55" si="10">E22-E53</f>
        <v>-9738578</v>
      </c>
      <c r="F55" s="144">
        <f t="shared" si="10"/>
        <v>-248796</v>
      </c>
      <c r="G55" s="46">
        <f t="shared" si="10"/>
        <v>846618</v>
      </c>
      <c r="H55" s="46">
        <f t="shared" si="10"/>
        <v>3147088</v>
      </c>
      <c r="I55" s="46">
        <f t="shared" si="10"/>
        <v>4867645</v>
      </c>
      <c r="J55" s="46">
        <f t="shared" si="10"/>
        <v>4833895</v>
      </c>
      <c r="K55" s="376"/>
    </row>
    <row r="56" spans="1:239" s="92" customFormat="1" ht="12" customHeight="1" x14ac:dyDescent="0.2">
      <c r="A56" s="254"/>
      <c r="B56" s="96"/>
      <c r="C56" s="331"/>
      <c r="D56" s="331"/>
      <c r="E56" s="331"/>
      <c r="F56" s="232"/>
      <c r="G56" s="90"/>
      <c r="H56" s="90"/>
      <c r="I56" s="90"/>
      <c r="J56" s="90"/>
      <c r="K56" s="54"/>
      <c r="L56" s="91"/>
      <c r="M56" s="54"/>
      <c r="N56" s="54"/>
    </row>
    <row r="57" spans="1:239" s="69" customFormat="1" ht="15" customHeight="1" thickBot="1" x14ac:dyDescent="0.25">
      <c r="A57" s="254"/>
      <c r="B57" s="21" t="s">
        <v>95</v>
      </c>
      <c r="C57" s="319"/>
      <c r="D57" s="319"/>
      <c r="E57" s="319">
        <f t="shared" ref="E57:J57" si="11">E7+E22-E53</f>
        <v>7628699</v>
      </c>
      <c r="F57" s="144">
        <f t="shared" si="11"/>
        <v>7379903</v>
      </c>
      <c r="G57" s="46">
        <f t="shared" si="11"/>
        <v>8226521</v>
      </c>
      <c r="H57" s="46">
        <f t="shared" si="11"/>
        <v>11373609</v>
      </c>
      <c r="I57" s="46">
        <f t="shared" si="11"/>
        <v>16241254</v>
      </c>
      <c r="J57" s="46">
        <f t="shared" si="11"/>
        <v>21075149</v>
      </c>
      <c r="K57" s="376"/>
    </row>
    <row r="58" spans="1:239" s="69" customFormat="1" ht="15" customHeight="1" thickTop="1" x14ac:dyDescent="0.2">
      <c r="A58" s="254"/>
      <c r="B58" s="199" t="s">
        <v>96</v>
      </c>
      <c r="C58" s="369"/>
      <c r="D58" s="369"/>
      <c r="E58" s="369">
        <f t="shared" ref="E58:J58" si="12">E57/E53</f>
        <v>6.1954878193032428E-2</v>
      </c>
      <c r="F58" s="368">
        <f>F57/F45</f>
        <v>6.2240980712143672E-2</v>
      </c>
      <c r="G58" s="368">
        <f t="shared" ref="G58:I58" si="13">G57/G45</f>
        <v>6.7628138245060171E-2</v>
      </c>
      <c r="H58" s="368">
        <f t="shared" si="13"/>
        <v>9.2061950514166754E-2</v>
      </c>
      <c r="I58" s="368">
        <f t="shared" si="13"/>
        <v>0.1287134968989139</v>
      </c>
      <c r="J58" s="216">
        <f t="shared" si="12"/>
        <v>0.16178704895500237</v>
      </c>
      <c r="K58" s="85"/>
      <c r="L58" s="42"/>
      <c r="M58" s="42"/>
      <c r="N58" s="42"/>
      <c r="O58" s="42"/>
    </row>
    <row r="59" spans="1:239" s="69" customFormat="1" ht="15" hidden="1" customHeight="1" x14ac:dyDescent="0.2">
      <c r="A59" s="254"/>
      <c r="B59" s="21" t="s">
        <v>97</v>
      </c>
      <c r="C59" s="334"/>
      <c r="D59" s="334"/>
      <c r="E59" s="334">
        <f>E45*0.05</f>
        <v>6206657.25</v>
      </c>
      <c r="F59" s="309">
        <f>F45*0.05</f>
        <v>5928491.9000000004</v>
      </c>
      <c r="G59" s="270">
        <f t="shared" ref="G59:J59" si="14">G45*0.05</f>
        <v>6082173.2000000002</v>
      </c>
      <c r="H59" s="270">
        <f t="shared" si="14"/>
        <v>6177149.7000000002</v>
      </c>
      <c r="I59" s="270">
        <f t="shared" si="14"/>
        <v>6309071.8500000006</v>
      </c>
      <c r="J59" s="270">
        <f t="shared" si="14"/>
        <v>6498209.3500000006</v>
      </c>
      <c r="K59" s="85"/>
      <c r="L59" s="42"/>
      <c r="M59" s="42"/>
      <c r="N59" s="42"/>
      <c r="O59" s="42"/>
    </row>
    <row r="60" spans="1:239" s="69" customFormat="1" ht="15" customHeight="1" x14ac:dyDescent="0.2">
      <c r="A60" s="254"/>
      <c r="B60" s="21"/>
      <c r="C60" s="334"/>
      <c r="D60" s="334"/>
      <c r="E60" s="334"/>
      <c r="F60" s="309"/>
      <c r="G60" s="270"/>
      <c r="H60" s="270"/>
      <c r="I60" s="270"/>
      <c r="J60" s="270"/>
      <c r="K60" s="85"/>
      <c r="L60" s="42"/>
      <c r="M60" s="42"/>
      <c r="N60" s="42"/>
      <c r="O60" s="42"/>
    </row>
    <row r="61" spans="1:239" s="69" customFormat="1" ht="15" customHeight="1" x14ac:dyDescent="0.2">
      <c r="A61" s="254"/>
      <c r="B61" s="344" t="s">
        <v>98</v>
      </c>
      <c r="C61" s="345"/>
      <c r="D61" s="345"/>
      <c r="E61" s="345">
        <f t="shared" ref="E61:J61" si="15">E57-E59</f>
        <v>1422041.75</v>
      </c>
      <c r="F61" s="346">
        <f t="shared" si="15"/>
        <v>1451411.0999999996</v>
      </c>
      <c r="G61" s="346">
        <f t="shared" si="15"/>
        <v>2144347.7999999998</v>
      </c>
      <c r="H61" s="346">
        <f t="shared" si="15"/>
        <v>5196459.3</v>
      </c>
      <c r="I61" s="346">
        <f t="shared" si="15"/>
        <v>9932182.1499999985</v>
      </c>
      <c r="J61" s="201">
        <f t="shared" si="15"/>
        <v>14576939.649999999</v>
      </c>
      <c r="K61" s="85"/>
      <c r="L61" s="42"/>
      <c r="M61" s="42"/>
      <c r="N61" s="42"/>
      <c r="O61" s="42"/>
    </row>
    <row r="62" spans="1:239" s="69" customFormat="1" ht="15" hidden="1" customHeight="1" x14ac:dyDescent="0.2">
      <c r="A62" s="254"/>
      <c r="B62" s="367" t="s">
        <v>182</v>
      </c>
      <c r="C62" s="370"/>
      <c r="D62" s="370"/>
      <c r="E62" s="370">
        <f>E45*0.04</f>
        <v>4965325.8</v>
      </c>
      <c r="F62" s="371">
        <f>F45*0.04</f>
        <v>4742793.5200000005</v>
      </c>
      <c r="G62" s="360">
        <f>G45*0.04</f>
        <v>4865738.5600000005</v>
      </c>
      <c r="H62" s="360">
        <f>H45*0.04</f>
        <v>4941719.76</v>
      </c>
      <c r="I62" s="360">
        <f>I45*0.04</f>
        <v>5047257.4800000004</v>
      </c>
      <c r="J62" s="270">
        <f>J48*0.05</f>
        <v>0</v>
      </c>
      <c r="K62" s="85"/>
      <c r="L62" s="42"/>
      <c r="M62" s="42"/>
      <c r="N62" s="42"/>
      <c r="O62" s="42"/>
    </row>
    <row r="63" spans="1:239" s="69" customFormat="1" ht="15" customHeight="1" x14ac:dyDescent="0.2">
      <c r="A63" s="254"/>
      <c r="B63" s="344" t="s">
        <v>183</v>
      </c>
      <c r="C63" s="345"/>
      <c r="D63" s="345"/>
      <c r="E63" s="345">
        <f>E57-E62</f>
        <v>2663373.2000000002</v>
      </c>
      <c r="F63" s="347">
        <f>F57-F62</f>
        <v>2637109.4799999995</v>
      </c>
      <c r="G63" s="347">
        <f>G57-G62</f>
        <v>3360782.4399999995</v>
      </c>
      <c r="H63" s="347">
        <f>H57-H62</f>
        <v>6431889.2400000002</v>
      </c>
      <c r="I63" s="347">
        <f>I57-I62</f>
        <v>11193996.52</v>
      </c>
      <c r="J63" s="201">
        <f>J59-J62</f>
        <v>6498209.3500000006</v>
      </c>
      <c r="K63" s="85"/>
      <c r="L63" s="42"/>
      <c r="M63" s="42"/>
      <c r="N63" s="42"/>
      <c r="O63" s="42"/>
    </row>
    <row r="64" spans="1:239" ht="15" customHeight="1" x14ac:dyDescent="0.2">
      <c r="A64" s="253"/>
    </row>
    <row r="65" spans="1:239" ht="15" customHeight="1" x14ac:dyDescent="0.2">
      <c r="A65" s="253"/>
      <c r="IA65"/>
      <c r="IB65"/>
      <c r="IC65"/>
      <c r="ID65"/>
      <c r="IE65"/>
    </row>
    <row r="66" spans="1:239" ht="15" hidden="1" customHeight="1" x14ac:dyDescent="0.2">
      <c r="A66" s="253"/>
      <c r="B66" s="343" t="s">
        <v>180</v>
      </c>
      <c r="C66" s="336"/>
      <c r="E66" s="381" t="s">
        <v>147</v>
      </c>
      <c r="F66" s="382"/>
      <c r="G66" s="382"/>
      <c r="H66" s="383"/>
      <c r="HZ66"/>
      <c r="IA66"/>
      <c r="IB66"/>
      <c r="IC66"/>
      <c r="ID66"/>
      <c r="IE66"/>
    </row>
    <row r="67" spans="1:239" ht="15" hidden="1" customHeight="1" x14ac:dyDescent="0.2">
      <c r="A67" s="253"/>
      <c r="B67" s="338" t="s">
        <v>179</v>
      </c>
      <c r="C67" s="257"/>
      <c r="E67" s="70" t="s">
        <v>148</v>
      </c>
      <c r="F67" s="87"/>
      <c r="G67" s="278"/>
      <c r="H67" s="281">
        <v>500000</v>
      </c>
      <c r="HZ67"/>
      <c r="IA67"/>
      <c r="IB67"/>
      <c r="IC67"/>
      <c r="ID67"/>
      <c r="IE67"/>
    </row>
    <row r="68" spans="1:239" ht="15" hidden="1" customHeight="1" x14ac:dyDescent="0.2">
      <c r="A68" s="253"/>
      <c r="B68" s="339" t="s">
        <v>176</v>
      </c>
      <c r="C68" s="335"/>
      <c r="E68" s="117" t="s">
        <v>175</v>
      </c>
      <c r="F68" s="96"/>
      <c r="G68" s="278"/>
      <c r="H68" s="281">
        <v>300000</v>
      </c>
      <c r="HZ68"/>
      <c r="IA68"/>
      <c r="IB68"/>
      <c r="IC68"/>
      <c r="ID68"/>
      <c r="IE68"/>
    </row>
    <row r="69" spans="1:239" ht="15" hidden="1" customHeight="1" x14ac:dyDescent="0.2">
      <c r="A69" s="253"/>
      <c r="B69" s="340" t="s">
        <v>173</v>
      </c>
      <c r="C69" s="335"/>
      <c r="E69" s="117" t="s">
        <v>28</v>
      </c>
      <c r="F69" s="96"/>
      <c r="G69" s="278"/>
      <c r="H69" s="281">
        <v>300000</v>
      </c>
      <c r="HZ69"/>
      <c r="IA69"/>
      <c r="IB69"/>
      <c r="IC69"/>
      <c r="ID69"/>
      <c r="IE69"/>
    </row>
    <row r="70" spans="1:239" ht="15" hidden="1" customHeight="1" x14ac:dyDescent="0.2">
      <c r="A70" s="253"/>
      <c r="B70" s="341" t="s">
        <v>177</v>
      </c>
      <c r="C70" s="335"/>
      <c r="E70" s="117" t="s">
        <v>42</v>
      </c>
      <c r="F70" s="96"/>
      <c r="G70" s="278"/>
      <c r="H70" s="281">
        <v>115000</v>
      </c>
      <c r="HZ70"/>
      <c r="IA70"/>
      <c r="IB70"/>
      <c r="IC70"/>
      <c r="ID70"/>
      <c r="IE70"/>
    </row>
    <row r="71" spans="1:239" ht="15" hidden="1" customHeight="1" x14ac:dyDescent="0.2">
      <c r="A71" s="253"/>
      <c r="B71" s="342" t="s">
        <v>178</v>
      </c>
      <c r="C71" s="335"/>
      <c r="E71" s="282" t="s">
        <v>125</v>
      </c>
      <c r="F71" s="279"/>
      <c r="G71" s="280"/>
      <c r="H71" s="283">
        <v>406000</v>
      </c>
      <c r="HZ71"/>
      <c r="IA71"/>
      <c r="IB71"/>
      <c r="IC71"/>
      <c r="ID71"/>
      <c r="IE71"/>
    </row>
    <row r="72" spans="1:239" ht="15" hidden="1" customHeight="1" x14ac:dyDescent="0.2">
      <c r="A72" s="253"/>
      <c r="B72" s="348" t="s">
        <v>184</v>
      </c>
      <c r="C72" s="87"/>
      <c r="E72" s="284" t="s">
        <v>149</v>
      </c>
      <c r="F72" s="285"/>
      <c r="G72" s="286"/>
      <c r="H72" s="287">
        <f>SUM(H67:H71)</f>
        <v>1621000</v>
      </c>
      <c r="IE72"/>
    </row>
    <row r="73" spans="1:239" hidden="1" x14ac:dyDescent="0.2">
      <c r="A73" s="253"/>
      <c r="B73" s="349" t="s">
        <v>185</v>
      </c>
    </row>
    <row r="74" spans="1:239" x14ac:dyDescent="0.2">
      <c r="A74" s="253"/>
    </row>
    <row r="75" spans="1:239" x14ac:dyDescent="0.2">
      <c r="A75" s="253"/>
    </row>
    <row r="76" spans="1:239" x14ac:dyDescent="0.2">
      <c r="A76" s="253"/>
    </row>
    <row r="77" spans="1:239" x14ac:dyDescent="0.2">
      <c r="A77" s="253"/>
    </row>
    <row r="78" spans="1:239" x14ac:dyDescent="0.2">
      <c r="A78" s="253"/>
    </row>
    <row r="79" spans="1:239" x14ac:dyDescent="0.2">
      <c r="A79" s="253"/>
    </row>
    <row r="80" spans="1:239" x14ac:dyDescent="0.2">
      <c r="A80" s="253"/>
    </row>
    <row r="81" spans="1:249" s="5" customFormat="1" x14ac:dyDescent="0.2">
      <c r="A81" s="253"/>
      <c r="C81" s="271"/>
      <c r="D81" s="271"/>
      <c r="E81" s="271"/>
      <c r="IF81"/>
      <c r="IG81"/>
      <c r="IH81"/>
      <c r="II81"/>
      <c r="IJ81"/>
      <c r="IK81"/>
      <c r="IL81"/>
      <c r="IM81"/>
      <c r="IN81"/>
      <c r="IO81"/>
    </row>
    <row r="82" spans="1:249" s="5" customFormat="1" x14ac:dyDescent="0.2">
      <c r="A82" s="253"/>
      <c r="C82" s="271"/>
      <c r="D82" s="271"/>
      <c r="E82" s="271"/>
      <c r="IF82"/>
      <c r="IG82"/>
      <c r="IH82"/>
      <c r="II82"/>
      <c r="IJ82"/>
      <c r="IK82"/>
      <c r="IL82"/>
      <c r="IM82"/>
      <c r="IN82"/>
      <c r="IO82"/>
    </row>
  </sheetData>
  <sheetProtection selectLockedCells="1" selectUnlockedCells="1"/>
  <mergeCells count="1">
    <mergeCell ref="E66:H66"/>
  </mergeCells>
  <printOptions horizontalCentered="1"/>
  <pageMargins left="0.25" right="0.25" top="0.75" bottom="0.75" header="0.3" footer="0.3"/>
  <pageSetup firstPageNumber="0" orientation="portrait" cellComments="atEnd" r:id="rId1"/>
  <headerFooter alignWithMargins="0">
    <oddHeader>&amp;C&amp;14Humboldt State University
Budget Planning for FY14-15</oddHeader>
    <oddFooter>&amp;F</oddFooter>
  </headerFooter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81"/>
  <sheetViews>
    <sheetView showGridLines="0" zoomScale="85" zoomScaleNormal="85" workbookViewId="0">
      <selection activeCell="D42" sqref="D42"/>
    </sheetView>
  </sheetViews>
  <sheetFormatPr defaultRowHeight="12.75" x14ac:dyDescent="0.2"/>
  <cols>
    <col min="1" max="1" width="3.28515625" style="250" customWidth="1"/>
    <col min="2" max="2" width="51.85546875" style="5" customWidth="1"/>
    <col min="3" max="5" width="13.140625" style="271" customWidth="1"/>
    <col min="6" max="6" width="13.140625" style="5" bestFit="1" customWidth="1"/>
    <col min="7" max="9" width="12.28515625" style="5" bestFit="1" customWidth="1"/>
    <col min="10" max="10" width="12.28515625" style="5" hidden="1" customWidth="1"/>
    <col min="11" max="11" width="17.7109375" style="5" bestFit="1" customWidth="1"/>
    <col min="12" max="12" width="10.7109375" style="5" customWidth="1"/>
    <col min="13" max="13" width="18" style="5" bestFit="1" customWidth="1"/>
    <col min="14" max="239" width="9.140625" style="5"/>
  </cols>
  <sheetData>
    <row r="1" spans="1:249" x14ac:dyDescent="0.2">
      <c r="A1" s="253"/>
    </row>
    <row r="2" spans="1:249" ht="57" customHeight="1" x14ac:dyDescent="0.2">
      <c r="A2" s="253"/>
      <c r="B2" s="256" t="s">
        <v>207</v>
      </c>
      <c r="C2" s="311" t="s">
        <v>130</v>
      </c>
      <c r="D2" s="311" t="s">
        <v>170</v>
      </c>
      <c r="E2" s="311" t="s">
        <v>129</v>
      </c>
      <c r="F2" s="137" t="s">
        <v>132</v>
      </c>
      <c r="G2" s="4" t="s">
        <v>133</v>
      </c>
      <c r="H2" s="4" t="s">
        <v>134</v>
      </c>
      <c r="I2" s="4" t="s">
        <v>135</v>
      </c>
      <c r="J2" s="4" t="s">
        <v>136</v>
      </c>
    </row>
    <row r="3" spans="1:249" ht="15" customHeight="1" x14ac:dyDescent="0.2">
      <c r="A3" s="253"/>
      <c r="B3" s="288"/>
      <c r="C3" s="312"/>
      <c r="D3" s="312"/>
      <c r="E3" s="312"/>
      <c r="F3" s="289"/>
      <c r="G3" s="290"/>
      <c r="H3" s="290"/>
      <c r="I3" s="290"/>
      <c r="J3" s="290"/>
    </row>
    <row r="4" spans="1:249" ht="15" customHeight="1" x14ac:dyDescent="0.2">
      <c r="A4" s="253"/>
      <c r="B4" s="288" t="s">
        <v>167</v>
      </c>
      <c r="C4" s="312"/>
      <c r="D4" s="312"/>
      <c r="E4" s="312"/>
      <c r="F4" s="301">
        <f>Enrollment!C2</f>
        <v>7251</v>
      </c>
      <c r="G4" s="302">
        <f>Enrollment!D2</f>
        <v>7351</v>
      </c>
      <c r="H4" s="302">
        <f>Enrollment!E2</f>
        <v>7451</v>
      </c>
      <c r="I4" s="302">
        <f>Enrollment!F2</f>
        <v>7551</v>
      </c>
      <c r="J4" s="302" t="e">
        <f>Enrollment!#REF!</f>
        <v>#REF!</v>
      </c>
    </row>
    <row r="5" spans="1:249" ht="15" customHeight="1" x14ac:dyDescent="0.2">
      <c r="A5" s="253"/>
      <c r="B5" s="288" t="s">
        <v>168</v>
      </c>
      <c r="C5" s="312"/>
      <c r="D5" s="312"/>
      <c r="E5" s="312"/>
      <c r="F5" s="301">
        <f>Enrollment!C6</f>
        <v>7787</v>
      </c>
      <c r="G5" s="302">
        <f>Enrollment!D6</f>
        <v>7891</v>
      </c>
      <c r="H5" s="302">
        <f>Enrollment!E6</f>
        <v>7995</v>
      </c>
      <c r="I5" s="302">
        <f>Enrollment!F6</f>
        <v>8099</v>
      </c>
      <c r="J5" s="302" t="e">
        <f>Enrollment!#REF!</f>
        <v>#REF!</v>
      </c>
    </row>
    <row r="6" spans="1:249" s="15" customFormat="1" ht="15" customHeight="1" x14ac:dyDescent="0.2">
      <c r="A6" s="252"/>
      <c r="B6" s="29"/>
      <c r="C6" s="313"/>
      <c r="D6" s="313"/>
      <c r="E6" s="313"/>
      <c r="F6" s="142"/>
      <c r="G6" s="31"/>
      <c r="H6" s="31"/>
      <c r="I6" s="31"/>
      <c r="J6" s="31"/>
      <c r="K6" s="126"/>
    </row>
    <row r="7" spans="1:249" s="15" customFormat="1" ht="15" customHeight="1" x14ac:dyDescent="0.2">
      <c r="A7" s="252"/>
      <c r="B7" s="274" t="s">
        <v>131</v>
      </c>
      <c r="C7" s="314">
        <v>17367277</v>
      </c>
      <c r="D7" s="314">
        <v>17367277</v>
      </c>
      <c r="E7" s="314">
        <v>17367277</v>
      </c>
      <c r="F7" s="275">
        <f>E57</f>
        <v>7628699</v>
      </c>
      <c r="G7" s="275">
        <f>F57</f>
        <v>7379903</v>
      </c>
      <c r="H7" s="275">
        <f>G57</f>
        <v>8226521</v>
      </c>
      <c r="I7" s="275">
        <f>H57</f>
        <v>11373609</v>
      </c>
      <c r="J7" s="275">
        <f>I57</f>
        <v>16241254</v>
      </c>
      <c r="K7" s="126"/>
    </row>
    <row r="8" spans="1:249" s="15" customFormat="1" ht="12" customHeight="1" x14ac:dyDescent="0.2">
      <c r="A8" s="252"/>
      <c r="B8" s="29"/>
      <c r="C8" s="313"/>
      <c r="D8" s="313"/>
      <c r="E8" s="313"/>
      <c r="F8" s="142"/>
      <c r="G8" s="31"/>
      <c r="H8" s="31"/>
      <c r="I8" s="31"/>
      <c r="J8" s="31"/>
      <c r="K8" s="126"/>
    </row>
    <row r="9" spans="1:249" s="15" customFormat="1" ht="15" customHeight="1" x14ac:dyDescent="0.2">
      <c r="A9" s="252"/>
      <c r="B9" s="33" t="s">
        <v>9</v>
      </c>
      <c r="C9" s="315"/>
      <c r="D9" s="315"/>
      <c r="E9" s="315"/>
      <c r="F9" s="143"/>
      <c r="G9" s="17"/>
      <c r="H9" s="17"/>
      <c r="I9" s="17"/>
      <c r="J9" s="17"/>
      <c r="K9" s="126"/>
      <c r="O9" s="15" t="s">
        <v>206</v>
      </c>
    </row>
    <row r="10" spans="1:249" s="5" customFormat="1" ht="15" customHeight="1" x14ac:dyDescent="0.2">
      <c r="A10" s="251">
        <v>1</v>
      </c>
      <c r="B10" s="35" t="s">
        <v>10</v>
      </c>
      <c r="C10" s="316">
        <v>60925100</v>
      </c>
      <c r="D10" s="316">
        <v>60415210</v>
      </c>
      <c r="E10" s="316">
        <v>60415210</v>
      </c>
      <c r="F10" s="128">
        <f>E15</f>
        <v>60415210</v>
      </c>
      <c r="G10" s="37">
        <f>F15</f>
        <v>65052210</v>
      </c>
      <c r="H10" s="37">
        <f>G15</f>
        <v>68468210</v>
      </c>
      <c r="I10" s="37">
        <f>H15</f>
        <v>72022210</v>
      </c>
      <c r="J10" s="37">
        <f>I15</f>
        <v>75717210</v>
      </c>
      <c r="K10" s="53"/>
      <c r="IF10"/>
      <c r="IG10"/>
      <c r="IH10"/>
      <c r="II10"/>
      <c r="IJ10"/>
      <c r="IK10"/>
      <c r="IL10"/>
      <c r="IM10"/>
      <c r="IN10"/>
      <c r="IO10"/>
    </row>
    <row r="11" spans="1:249" s="42" customFormat="1" ht="15" customHeight="1" x14ac:dyDescent="0.2">
      <c r="A11" s="255" t="s">
        <v>126</v>
      </c>
      <c r="B11" s="195" t="s">
        <v>187</v>
      </c>
      <c r="C11" s="317"/>
      <c r="D11" s="317"/>
      <c r="E11" s="317"/>
      <c r="F11" s="128">
        <f>ROUND(142200000*0.026*0.9,-3)</f>
        <v>3327000</v>
      </c>
      <c r="G11" s="41">
        <f>ROUND(119500000*0.026*0.9,-3)</f>
        <v>2796000</v>
      </c>
      <c r="H11" s="41">
        <f>ROUND(124300000*0.026*0.9,-3)</f>
        <v>2909000</v>
      </c>
      <c r="I11" s="41">
        <f>ROUND(124300000*1.04*0.026*0.9,-3)</f>
        <v>3025000</v>
      </c>
      <c r="J11" s="41">
        <f>ROUND(124300000*1.04*0.026*0.8,-3)</f>
        <v>2689000</v>
      </c>
      <c r="K11" s="53"/>
      <c r="L11" s="53"/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s="42" customFormat="1" ht="15" hidden="1" customHeight="1" x14ac:dyDescent="0.2">
      <c r="A12" s="337"/>
      <c r="B12" s="195" t="s">
        <v>87</v>
      </c>
      <c r="C12" s="317"/>
      <c r="D12" s="317"/>
      <c r="E12" s="317"/>
      <c r="F12" s="128"/>
      <c r="G12" s="41">
        <v>0</v>
      </c>
      <c r="H12" s="41">
        <v>0</v>
      </c>
      <c r="I12" s="41">
        <v>0</v>
      </c>
      <c r="J12" s="41">
        <f>ROUND(124300000*1.04*0.026*0.1,-3)</f>
        <v>336000</v>
      </c>
      <c r="K12" s="53"/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249" s="42" customFormat="1" ht="15" customHeight="1" x14ac:dyDescent="0.2">
      <c r="A13" s="255" t="s">
        <v>127</v>
      </c>
      <c r="B13" s="195" t="s">
        <v>65</v>
      </c>
      <c r="C13" s="317"/>
      <c r="D13" s="317"/>
      <c r="E13" s="317"/>
      <c r="F13" s="128">
        <f>F34</f>
        <v>350000</v>
      </c>
      <c r="G13" s="41">
        <f>G34-10000</f>
        <v>620000</v>
      </c>
      <c r="H13" s="41">
        <v>645000</v>
      </c>
      <c r="I13" s="41">
        <v>670000</v>
      </c>
      <c r="J13" s="41">
        <v>695000</v>
      </c>
      <c r="K13" s="53"/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s="42" customFormat="1" ht="15" customHeight="1" x14ac:dyDescent="0.2">
      <c r="A14" s="255" t="s">
        <v>128</v>
      </c>
      <c r="B14" s="195" t="s">
        <v>151</v>
      </c>
      <c r="C14" s="317"/>
      <c r="D14" s="317"/>
      <c r="E14" s="317"/>
      <c r="F14" s="128">
        <v>960000</v>
      </c>
      <c r="G14" s="41"/>
      <c r="H14" s="41"/>
      <c r="I14" s="41"/>
      <c r="J14" s="41"/>
      <c r="K14" s="53"/>
      <c r="IF14" s="43"/>
      <c r="IG14" s="43"/>
      <c r="IH14" s="43"/>
      <c r="II14" s="43"/>
      <c r="IJ14" s="43"/>
      <c r="IK14" s="43"/>
      <c r="IL14" s="43"/>
      <c r="IM14" s="43"/>
      <c r="IN14" s="43"/>
      <c r="IO14" s="43"/>
    </row>
    <row r="15" spans="1:249" s="42" customFormat="1" ht="15" customHeight="1" x14ac:dyDescent="0.2">
      <c r="A15" s="255"/>
      <c r="B15" s="267" t="s">
        <v>11</v>
      </c>
      <c r="C15" s="318">
        <f>C10</f>
        <v>60925100</v>
      </c>
      <c r="D15" s="318">
        <f>D10</f>
        <v>60415210</v>
      </c>
      <c r="E15" s="318">
        <f>SUM(E10:E13)</f>
        <v>60415210</v>
      </c>
      <c r="F15" s="269">
        <f>SUM(F10:F14)</f>
        <v>65052210</v>
      </c>
      <c r="G15" s="269">
        <f>SUM(G10:G14)</f>
        <v>68468210</v>
      </c>
      <c r="H15" s="269">
        <f>SUM(H10:H14)</f>
        <v>72022210</v>
      </c>
      <c r="I15" s="269">
        <f>SUM(I10:I14)</f>
        <v>75717210</v>
      </c>
      <c r="J15" s="269">
        <f>SUM(J10:J14)</f>
        <v>79437210</v>
      </c>
      <c r="K15" s="53"/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s="42" customFormat="1" ht="15" customHeight="1" x14ac:dyDescent="0.2">
      <c r="A16" s="255">
        <v>2</v>
      </c>
      <c r="B16" s="48" t="s">
        <v>12</v>
      </c>
      <c r="C16" s="319"/>
      <c r="D16" s="319"/>
      <c r="E16" s="319"/>
      <c r="F16" s="144"/>
      <c r="G16" s="46"/>
      <c r="H16" s="46"/>
      <c r="I16" s="46"/>
      <c r="J16" s="46"/>
      <c r="K16" s="53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s="42" customFormat="1" ht="15" customHeight="1" x14ac:dyDescent="0.2">
      <c r="A17" s="255"/>
      <c r="B17" s="39" t="s">
        <v>13</v>
      </c>
      <c r="C17" s="320">
        <v>43577000</v>
      </c>
      <c r="D17" s="320">
        <v>43577000</v>
      </c>
      <c r="E17" s="320">
        <v>43577000</v>
      </c>
      <c r="F17" s="139">
        <v>44340000</v>
      </c>
      <c r="G17" s="51">
        <v>44917000</v>
      </c>
      <c r="H17" s="51">
        <v>45492000</v>
      </c>
      <c r="I17" s="51">
        <v>46082000</v>
      </c>
      <c r="J17" s="51">
        <v>45929000</v>
      </c>
      <c r="K17" s="53"/>
      <c r="L17" s="53"/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s="42" customFormat="1" ht="15" customHeight="1" x14ac:dyDescent="0.2">
      <c r="A18" s="255"/>
      <c r="B18" s="39" t="s">
        <v>14</v>
      </c>
      <c r="C18" s="320">
        <v>2139000</v>
      </c>
      <c r="D18" s="320">
        <v>2139000</v>
      </c>
      <c r="E18" s="320">
        <v>2139000</v>
      </c>
      <c r="F18" s="139">
        <v>1878000</v>
      </c>
      <c r="G18" s="51">
        <v>1918000</v>
      </c>
      <c r="H18" s="51">
        <v>1957000</v>
      </c>
      <c r="I18" s="51">
        <v>1997000</v>
      </c>
      <c r="J18" s="51">
        <v>2174000</v>
      </c>
      <c r="K18" s="5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s="42" customFormat="1" ht="15" customHeight="1" x14ac:dyDescent="0.2">
      <c r="A19" s="255"/>
      <c r="B19" s="39" t="s">
        <v>15</v>
      </c>
      <c r="C19" s="320">
        <v>2369000</v>
      </c>
      <c r="D19" s="320">
        <v>2369000</v>
      </c>
      <c r="E19" s="320">
        <v>2354000</v>
      </c>
      <c r="F19" s="139">
        <v>2449000</v>
      </c>
      <c r="G19" s="51">
        <v>2481000</v>
      </c>
      <c r="H19" s="51">
        <v>2513000</v>
      </c>
      <c r="I19" s="51">
        <v>2547000</v>
      </c>
      <c r="J19" s="51">
        <v>2552000</v>
      </c>
      <c r="K19" s="53"/>
      <c r="L19" s="5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s="42" customFormat="1" ht="15" customHeight="1" x14ac:dyDescent="0.2">
      <c r="A20" s="255">
        <v>3</v>
      </c>
      <c r="B20" s="39" t="s">
        <v>122</v>
      </c>
      <c r="C20" s="320">
        <f>C21-C17-C18-C19</f>
        <v>5006432</v>
      </c>
      <c r="D20" s="320">
        <f>D21-D17-D18-D19</f>
        <v>5006432</v>
      </c>
      <c r="E20" s="320">
        <v>4909357</v>
      </c>
      <c r="F20" s="139">
        <f>C20</f>
        <v>5006432</v>
      </c>
      <c r="G20" s="51">
        <f>F20</f>
        <v>5006432</v>
      </c>
      <c r="H20" s="51">
        <f>G20</f>
        <v>5006432</v>
      </c>
      <c r="I20" s="51">
        <f>H20</f>
        <v>5006432</v>
      </c>
      <c r="J20" s="51">
        <f>I20</f>
        <v>5006432</v>
      </c>
      <c r="K20" s="53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s="99" customFormat="1" ht="15" customHeight="1" x14ac:dyDescent="0.2">
      <c r="A21" s="258"/>
      <c r="B21" s="267" t="s">
        <v>137</v>
      </c>
      <c r="C21" s="321">
        <v>53091432</v>
      </c>
      <c r="D21" s="321">
        <v>53091432</v>
      </c>
      <c r="E21" s="321">
        <f>SUM(E17:E20)</f>
        <v>52979357</v>
      </c>
      <c r="F21" s="268">
        <f t="shared" ref="F21:J21" si="0">SUM(F17:F20)</f>
        <v>53673432</v>
      </c>
      <c r="G21" s="268">
        <f t="shared" si="0"/>
        <v>54322432</v>
      </c>
      <c r="H21" s="268">
        <f t="shared" si="0"/>
        <v>54968432</v>
      </c>
      <c r="I21" s="268">
        <f t="shared" si="0"/>
        <v>55632432</v>
      </c>
      <c r="J21" s="268">
        <f t="shared" si="0"/>
        <v>55661432</v>
      </c>
      <c r="K21" s="53"/>
      <c r="IF21" s="259"/>
      <c r="IG21" s="259"/>
      <c r="IH21" s="259"/>
      <c r="II21" s="259"/>
      <c r="IJ21" s="259"/>
      <c r="IK21" s="259"/>
      <c r="IL21" s="259"/>
      <c r="IM21" s="259"/>
      <c r="IN21" s="259"/>
      <c r="IO21" s="259"/>
    </row>
    <row r="22" spans="1:249" s="42" customFormat="1" ht="15" customHeight="1" x14ac:dyDescent="0.2">
      <c r="A22" s="255"/>
      <c r="B22" s="58" t="s">
        <v>138</v>
      </c>
      <c r="C22" s="322">
        <f>C21+C15</f>
        <v>114016532</v>
      </c>
      <c r="D22" s="322">
        <f>D21+D15</f>
        <v>113506642</v>
      </c>
      <c r="E22" s="322">
        <f>E21+E15</f>
        <v>113394567</v>
      </c>
      <c r="F22" s="60">
        <f t="shared" ref="F22:J22" si="1">F21+F15</f>
        <v>118725642</v>
      </c>
      <c r="G22" s="60">
        <f t="shared" si="1"/>
        <v>122790642</v>
      </c>
      <c r="H22" s="60">
        <f t="shared" si="1"/>
        <v>126990642</v>
      </c>
      <c r="I22" s="60">
        <f t="shared" si="1"/>
        <v>131349642</v>
      </c>
      <c r="J22" s="60">
        <f t="shared" si="1"/>
        <v>135098642</v>
      </c>
      <c r="K22" s="127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s="42" customFormat="1" ht="12" customHeight="1" x14ac:dyDescent="0.2">
      <c r="A23" s="255"/>
      <c r="B23" s="39"/>
      <c r="C23" s="320"/>
      <c r="D23" s="320"/>
      <c r="E23" s="320"/>
      <c r="F23" s="139"/>
      <c r="G23" s="51"/>
      <c r="H23" s="51"/>
      <c r="I23" s="51"/>
      <c r="J23" s="51"/>
      <c r="K23" s="5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s="42" customFormat="1" ht="15" customHeight="1" x14ac:dyDescent="0.2">
      <c r="A24" s="255"/>
      <c r="B24" s="33" t="s">
        <v>172</v>
      </c>
      <c r="C24" s="320"/>
      <c r="D24" s="320"/>
      <c r="E24" s="320"/>
      <c r="F24" s="139"/>
      <c r="G24" s="51"/>
      <c r="H24" s="51"/>
      <c r="I24" s="51"/>
      <c r="J24" s="51"/>
      <c r="K24" s="5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s="42" customFormat="1" ht="15" customHeight="1" x14ac:dyDescent="0.2">
      <c r="A25" s="255"/>
      <c r="B25" s="257" t="s">
        <v>139</v>
      </c>
      <c r="C25" s="320">
        <v>55359448</v>
      </c>
      <c r="D25" s="320">
        <v>55359448</v>
      </c>
      <c r="E25" s="320">
        <v>57013555</v>
      </c>
      <c r="F25" s="139">
        <f>C25</f>
        <v>55359448</v>
      </c>
      <c r="G25" s="51"/>
      <c r="H25" s="51"/>
      <c r="I25" s="51"/>
      <c r="J25" s="51"/>
      <c r="K25" s="5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s="99" customFormat="1" ht="15" customHeight="1" x14ac:dyDescent="0.2">
      <c r="A26" s="258"/>
      <c r="B26" s="257" t="s">
        <v>140</v>
      </c>
      <c r="C26" s="320">
        <v>26807706</v>
      </c>
      <c r="D26" s="320">
        <v>26807706</v>
      </c>
      <c r="E26" s="320">
        <v>26998187</v>
      </c>
      <c r="F26" s="139">
        <v>26807706</v>
      </c>
      <c r="G26" s="51"/>
      <c r="H26" s="51"/>
      <c r="I26" s="51"/>
      <c r="J26" s="51"/>
      <c r="K26" s="262"/>
      <c r="IF26" s="259"/>
      <c r="IG26" s="259"/>
      <c r="IH26" s="259"/>
      <c r="II26" s="259"/>
      <c r="IJ26" s="259"/>
      <c r="IK26" s="259"/>
      <c r="IL26" s="259"/>
      <c r="IM26" s="259"/>
      <c r="IN26" s="259"/>
      <c r="IO26" s="259"/>
    </row>
    <row r="27" spans="1:249" s="99" customFormat="1" ht="15" customHeight="1" x14ac:dyDescent="0.2">
      <c r="B27" s="257" t="s">
        <v>141</v>
      </c>
      <c r="C27" s="320">
        <v>14369030</v>
      </c>
      <c r="D27" s="320">
        <f>14369030-557100</f>
        <v>13811930</v>
      </c>
      <c r="E27" s="320">
        <v>13843111</v>
      </c>
      <c r="F27" s="139">
        <f>D27</f>
        <v>13811930</v>
      </c>
      <c r="G27" s="51"/>
      <c r="H27" s="51"/>
      <c r="I27" s="51"/>
      <c r="J27" s="51"/>
      <c r="K27" s="262"/>
      <c r="IF27" s="259"/>
      <c r="IG27" s="259"/>
      <c r="IH27" s="259"/>
      <c r="II27" s="259"/>
      <c r="IJ27" s="259"/>
      <c r="IK27" s="259"/>
      <c r="IL27" s="259"/>
      <c r="IM27" s="259"/>
      <c r="IN27" s="259"/>
      <c r="IO27" s="259"/>
    </row>
    <row r="28" spans="1:249" s="99" customFormat="1" ht="15" customHeight="1" x14ac:dyDescent="0.2">
      <c r="B28" s="257" t="s">
        <v>153</v>
      </c>
      <c r="C28" s="320">
        <f>17480348+753910</f>
        <v>18234258</v>
      </c>
      <c r="D28" s="320">
        <f>17480348+753910</f>
        <v>18234258</v>
      </c>
      <c r="E28" s="320">
        <v>26278292</v>
      </c>
      <c r="F28" s="139">
        <f>C28</f>
        <v>18234258</v>
      </c>
      <c r="G28" s="51"/>
      <c r="H28" s="51"/>
      <c r="I28" s="51"/>
      <c r="J28" s="51"/>
      <c r="K28" s="262"/>
      <c r="IF28" s="259"/>
      <c r="IG28" s="259"/>
      <c r="IH28" s="259"/>
      <c r="II28" s="259"/>
      <c r="IJ28" s="259"/>
      <c r="IK28" s="259"/>
      <c r="IL28" s="259"/>
      <c r="IM28" s="259"/>
      <c r="IN28" s="259"/>
      <c r="IO28" s="259"/>
    </row>
    <row r="29" spans="1:249" s="42" customFormat="1" ht="15" customHeight="1" x14ac:dyDescent="0.2">
      <c r="A29" s="255"/>
      <c r="B29" s="265" t="s">
        <v>171</v>
      </c>
      <c r="C29" s="323">
        <f>SUM(C25:C28)</f>
        <v>114770442</v>
      </c>
      <c r="D29" s="323">
        <f t="shared" ref="D29:E29" si="2">SUM(D25:D28)</f>
        <v>114213342</v>
      </c>
      <c r="E29" s="323">
        <f t="shared" si="2"/>
        <v>124133145</v>
      </c>
      <c r="F29" s="266">
        <f>SUM(F25:F28)</f>
        <v>114213342</v>
      </c>
      <c r="G29" s="266">
        <f>F29+F44</f>
        <v>118569838</v>
      </c>
      <c r="H29" s="266">
        <f>G29+G44</f>
        <v>121643464</v>
      </c>
      <c r="I29" s="266">
        <f>H29+H44</f>
        <v>123542994</v>
      </c>
      <c r="J29" s="266">
        <f>I29+I44</f>
        <v>126181437</v>
      </c>
      <c r="K29" s="53"/>
      <c r="L29" s="127"/>
      <c r="IF29" s="43"/>
      <c r="IG29" s="43"/>
      <c r="IH29" s="43"/>
      <c r="II29" s="43"/>
      <c r="IJ29" s="43"/>
      <c r="IK29" s="43"/>
      <c r="IL29" s="43"/>
      <c r="IM29" s="43"/>
      <c r="IN29" s="43"/>
      <c r="IO29" s="43"/>
    </row>
    <row r="30" spans="1:249" s="99" customFormat="1" ht="12" customHeight="1" x14ac:dyDescent="0.2">
      <c r="B30" s="257"/>
      <c r="C30" s="320"/>
      <c r="D30" s="320"/>
      <c r="E30" s="320"/>
      <c r="F30" s="139"/>
      <c r="G30" s="51"/>
      <c r="H30" s="51"/>
      <c r="I30" s="51"/>
      <c r="J30" s="51"/>
      <c r="K30" s="262"/>
      <c r="L30" s="378"/>
      <c r="IF30" s="259"/>
      <c r="IG30" s="259"/>
      <c r="IH30" s="259"/>
      <c r="II30" s="259"/>
      <c r="IJ30" s="259"/>
      <c r="IK30" s="259"/>
      <c r="IL30" s="259"/>
      <c r="IM30" s="259"/>
      <c r="IN30" s="259"/>
      <c r="IO30" s="259"/>
    </row>
    <row r="31" spans="1:249" s="42" customFormat="1" ht="15" customHeight="1" x14ac:dyDescent="0.2">
      <c r="A31" s="255">
        <v>4</v>
      </c>
      <c r="B31" s="257" t="s">
        <v>145</v>
      </c>
      <c r="C31" s="320"/>
      <c r="D31" s="320"/>
      <c r="E31" s="320"/>
      <c r="F31" s="139">
        <v>960000</v>
      </c>
      <c r="G31" s="51"/>
      <c r="H31" s="51"/>
      <c r="I31" s="51"/>
      <c r="J31" s="51"/>
      <c r="K31" s="53"/>
      <c r="IF31" s="43"/>
      <c r="IG31" s="43"/>
      <c r="IH31" s="43"/>
      <c r="II31" s="43"/>
      <c r="IJ31" s="43"/>
      <c r="IK31" s="43"/>
      <c r="IL31" s="43"/>
      <c r="IM31" s="43"/>
      <c r="IN31" s="43"/>
      <c r="IO31" s="43"/>
    </row>
    <row r="32" spans="1:249" s="42" customFormat="1" ht="15" customHeight="1" x14ac:dyDescent="0.2">
      <c r="A32" s="255">
        <v>5</v>
      </c>
      <c r="B32" s="257" t="s">
        <v>144</v>
      </c>
      <c r="C32" s="320"/>
      <c r="D32" s="320"/>
      <c r="E32" s="320"/>
      <c r="F32" s="139">
        <f>1150000</f>
        <v>1150000</v>
      </c>
      <c r="G32" s="51">
        <f>ROUND(F32*1.02,-3)</f>
        <v>1173000</v>
      </c>
      <c r="H32" s="51">
        <f t="shared" ref="H32:J32" si="3">ROUND(G32*1.02,-3)</f>
        <v>1196000</v>
      </c>
      <c r="I32" s="51">
        <f t="shared" si="3"/>
        <v>1220000</v>
      </c>
      <c r="J32" s="51">
        <f t="shared" si="3"/>
        <v>1244000</v>
      </c>
      <c r="K32" s="53"/>
      <c r="IF32" s="43"/>
      <c r="IG32" s="43"/>
      <c r="IH32" s="43"/>
      <c r="II32" s="43"/>
      <c r="IJ32" s="43"/>
      <c r="IK32" s="43"/>
      <c r="IL32" s="43"/>
      <c r="IM32" s="43"/>
      <c r="IN32" s="43"/>
      <c r="IO32" s="43"/>
    </row>
    <row r="33" spans="1:249" s="99" customFormat="1" ht="15" customHeight="1" x14ac:dyDescent="0.2">
      <c r="A33" s="255">
        <v>6</v>
      </c>
      <c r="B33" s="48" t="s">
        <v>21</v>
      </c>
      <c r="C33" s="320"/>
      <c r="D33" s="320"/>
      <c r="E33" s="320"/>
      <c r="F33" s="139">
        <f>540000/12*7+143000</f>
        <v>458000</v>
      </c>
      <c r="G33" s="51">
        <v>550000</v>
      </c>
      <c r="H33" s="51">
        <v>560000</v>
      </c>
      <c r="I33" s="51">
        <v>570000</v>
      </c>
      <c r="J33" s="51">
        <v>580000</v>
      </c>
      <c r="K33" s="262"/>
      <c r="IF33" s="259"/>
      <c r="IG33" s="259"/>
      <c r="IH33" s="259"/>
      <c r="II33" s="259"/>
      <c r="IJ33" s="259"/>
      <c r="IK33" s="259"/>
      <c r="IL33" s="259"/>
      <c r="IM33" s="259"/>
      <c r="IN33" s="259"/>
      <c r="IO33" s="259"/>
    </row>
    <row r="34" spans="1:249" s="99" customFormat="1" ht="15" customHeight="1" x14ac:dyDescent="0.2">
      <c r="A34" s="255">
        <v>7</v>
      </c>
      <c r="B34" s="257" t="s">
        <v>22</v>
      </c>
      <c r="C34" s="320"/>
      <c r="D34" s="320"/>
      <c r="E34" s="320"/>
      <c r="F34" s="139">
        <v>350000</v>
      </c>
      <c r="G34" s="51">
        <v>630000</v>
      </c>
      <c r="H34" s="51">
        <v>665000</v>
      </c>
      <c r="I34" s="51">
        <v>700000</v>
      </c>
      <c r="J34" s="51">
        <v>735000</v>
      </c>
      <c r="K34" s="262"/>
      <c r="IF34" s="259"/>
      <c r="IG34" s="259"/>
      <c r="IH34" s="259"/>
      <c r="II34" s="259"/>
      <c r="IJ34" s="259"/>
      <c r="IK34" s="259"/>
      <c r="IL34" s="259"/>
      <c r="IM34" s="259"/>
      <c r="IN34" s="259"/>
      <c r="IO34" s="259"/>
    </row>
    <row r="35" spans="1:249" s="99" customFormat="1" ht="15" customHeight="1" x14ac:dyDescent="0.2">
      <c r="A35" s="255">
        <v>8</v>
      </c>
      <c r="B35" s="257" t="s">
        <v>123</v>
      </c>
      <c r="C35" s="320"/>
      <c r="D35" s="320"/>
      <c r="E35" s="320"/>
      <c r="F35" s="139">
        <v>132000</v>
      </c>
      <c r="G35" s="51">
        <f>F35</f>
        <v>132000</v>
      </c>
      <c r="H35" s="51">
        <f>G35</f>
        <v>132000</v>
      </c>
      <c r="I35" s="51">
        <f>H35</f>
        <v>132000</v>
      </c>
      <c r="J35" s="51">
        <f>I35</f>
        <v>132000</v>
      </c>
      <c r="K35" s="262"/>
      <c r="IF35" s="259"/>
      <c r="IG35" s="259"/>
      <c r="IH35" s="259"/>
      <c r="II35" s="259"/>
      <c r="IJ35" s="259"/>
      <c r="IK35" s="259"/>
      <c r="IL35" s="259"/>
      <c r="IM35" s="259"/>
      <c r="IN35" s="259"/>
      <c r="IO35" s="259"/>
    </row>
    <row r="36" spans="1:249" s="99" customFormat="1" ht="15" customHeight="1" x14ac:dyDescent="0.2">
      <c r="A36" s="255">
        <v>9</v>
      </c>
      <c r="B36" s="257" t="s">
        <v>152</v>
      </c>
      <c r="C36" s="320"/>
      <c r="D36" s="320"/>
      <c r="E36" s="320"/>
      <c r="F36" s="139">
        <f>F19-C19</f>
        <v>80000</v>
      </c>
      <c r="G36" s="51">
        <f>G19-F19</f>
        <v>32000</v>
      </c>
      <c r="H36" s="51">
        <f t="shared" ref="H36:I36" si="4">H19-G19</f>
        <v>32000</v>
      </c>
      <c r="I36" s="51">
        <f t="shared" si="4"/>
        <v>34000</v>
      </c>
      <c r="J36" s="51">
        <f>J19-H19</f>
        <v>39000</v>
      </c>
      <c r="K36" s="262"/>
      <c r="IF36" s="259"/>
      <c r="IG36" s="259"/>
      <c r="IH36" s="259"/>
      <c r="II36" s="259"/>
      <c r="IJ36" s="259"/>
      <c r="IK36" s="259"/>
      <c r="IL36" s="259"/>
      <c r="IM36" s="259"/>
      <c r="IN36" s="259"/>
      <c r="IO36" s="259"/>
    </row>
    <row r="37" spans="1:249" s="99" customFormat="1" ht="15" customHeight="1" x14ac:dyDescent="0.2">
      <c r="A37" s="254">
        <v>10</v>
      </c>
      <c r="B37" s="257" t="s">
        <v>124</v>
      </c>
      <c r="C37" s="320"/>
      <c r="D37" s="320"/>
      <c r="E37" s="320"/>
      <c r="F37" s="139">
        <v>100000</v>
      </c>
      <c r="G37" s="51"/>
      <c r="H37" s="51"/>
      <c r="I37" s="51"/>
      <c r="J37" s="51"/>
      <c r="K37" s="262"/>
      <c r="L37" s="310"/>
      <c r="IF37" s="259"/>
      <c r="IG37" s="259"/>
      <c r="IH37" s="259"/>
      <c r="II37" s="259"/>
      <c r="IJ37" s="259"/>
      <c r="IK37" s="259"/>
      <c r="IL37" s="259"/>
      <c r="IM37" s="259"/>
      <c r="IN37" s="259"/>
      <c r="IO37" s="259"/>
    </row>
    <row r="38" spans="1:249" s="99" customFormat="1" ht="15" hidden="1" customHeight="1" x14ac:dyDescent="0.2">
      <c r="A38" s="254">
        <v>11</v>
      </c>
      <c r="B38" s="257" t="s">
        <v>88</v>
      </c>
      <c r="C38" s="320"/>
      <c r="D38" s="320"/>
      <c r="E38" s="320"/>
      <c r="F38" s="139">
        <f>F12</f>
        <v>0</v>
      </c>
      <c r="G38" s="51">
        <f>G12</f>
        <v>0</v>
      </c>
      <c r="H38" s="51">
        <f>H12</f>
        <v>0</v>
      </c>
      <c r="I38" s="51">
        <f>I12</f>
        <v>0</v>
      </c>
      <c r="J38" s="51">
        <f>J12</f>
        <v>336000</v>
      </c>
      <c r="K38" s="262"/>
      <c r="IF38" s="259"/>
      <c r="IG38" s="259"/>
      <c r="IH38" s="259"/>
      <c r="II38" s="259"/>
      <c r="IJ38" s="259"/>
      <c r="IK38" s="259"/>
      <c r="IL38" s="259"/>
      <c r="IM38" s="259"/>
      <c r="IN38" s="259"/>
      <c r="IO38" s="259"/>
    </row>
    <row r="39" spans="1:249" s="99" customFormat="1" ht="15" customHeight="1" x14ac:dyDescent="0.2">
      <c r="A39" s="254">
        <v>11</v>
      </c>
      <c r="B39" s="257" t="s">
        <v>67</v>
      </c>
      <c r="C39" s="320"/>
      <c r="D39" s="320"/>
      <c r="E39" s="320"/>
      <c r="F39" s="139"/>
      <c r="G39" s="182">
        <v>-300000</v>
      </c>
      <c r="H39" s="182">
        <v>-1200000</v>
      </c>
      <c r="I39" s="182">
        <v>-900000</v>
      </c>
      <c r="J39" s="182"/>
      <c r="K39" s="262"/>
      <c r="IF39" s="259"/>
      <c r="IG39" s="259"/>
      <c r="IH39" s="259"/>
      <c r="II39" s="259"/>
      <c r="IJ39" s="259"/>
      <c r="IK39" s="259"/>
      <c r="IL39" s="259"/>
      <c r="IM39" s="259"/>
      <c r="IN39" s="259"/>
      <c r="IO39" s="259"/>
    </row>
    <row r="40" spans="1:249" s="99" customFormat="1" ht="15" customHeight="1" x14ac:dyDescent="0.2">
      <c r="A40" s="254">
        <v>12</v>
      </c>
      <c r="B40" s="257" t="s">
        <v>68</v>
      </c>
      <c r="C40" s="320"/>
      <c r="D40" s="320"/>
      <c r="E40" s="320"/>
      <c r="F40" s="139"/>
      <c r="G40" s="182"/>
      <c r="H40" s="182">
        <v>-497000</v>
      </c>
      <c r="I40" s="182"/>
      <c r="J40" s="182"/>
      <c r="K40" s="262"/>
      <c r="IF40" s="259"/>
      <c r="IG40" s="259"/>
      <c r="IH40" s="259"/>
      <c r="II40" s="259"/>
      <c r="IJ40" s="259"/>
      <c r="IK40" s="259"/>
      <c r="IL40" s="259"/>
      <c r="IM40" s="259"/>
      <c r="IN40" s="259"/>
      <c r="IO40" s="259"/>
    </row>
    <row r="41" spans="1:249" s="99" customFormat="1" ht="15" customHeight="1" x14ac:dyDescent="0.2">
      <c r="A41" s="254">
        <v>13</v>
      </c>
      <c r="B41" s="257" t="s">
        <v>107</v>
      </c>
      <c r="C41" s="320"/>
      <c r="D41" s="320"/>
      <c r="E41" s="320"/>
      <c r="F41" s="139">
        <v>358496</v>
      </c>
      <c r="G41" s="182">
        <v>356626</v>
      </c>
      <c r="H41" s="182">
        <v>511530</v>
      </c>
      <c r="I41" s="182">
        <v>382443</v>
      </c>
      <c r="J41" s="182">
        <v>216750</v>
      </c>
      <c r="K41" s="262"/>
      <c r="IF41" s="259"/>
      <c r="IG41" s="259"/>
      <c r="IH41" s="259"/>
      <c r="II41" s="259"/>
      <c r="IJ41" s="259"/>
      <c r="IK41" s="259"/>
      <c r="IL41" s="259"/>
      <c r="IM41" s="259"/>
      <c r="IN41" s="259"/>
      <c r="IO41" s="259"/>
    </row>
    <row r="42" spans="1:249" s="99" customFormat="1" ht="15" customHeight="1" x14ac:dyDescent="0.2">
      <c r="A42" s="254"/>
      <c r="B42" s="257" t="s">
        <v>181</v>
      </c>
      <c r="C42" s="320"/>
      <c r="D42" s="320"/>
      <c r="E42" s="320"/>
      <c r="F42" s="139">
        <f>768000</f>
        <v>768000</v>
      </c>
      <c r="G42" s="182">
        <v>500000</v>
      </c>
      <c r="H42" s="182">
        <f>G42</f>
        <v>500000</v>
      </c>
      <c r="I42" s="182">
        <f>H42</f>
        <v>500000</v>
      </c>
      <c r="J42" s="182">
        <f>I42</f>
        <v>500000</v>
      </c>
      <c r="K42" s="262"/>
      <c r="IF42" s="259"/>
      <c r="IG42" s="259"/>
      <c r="IH42" s="259"/>
      <c r="II42" s="259"/>
      <c r="IJ42" s="259"/>
      <c r="IK42" s="259"/>
      <c r="IL42" s="259"/>
      <c r="IM42" s="259"/>
      <c r="IN42" s="259"/>
      <c r="IO42" s="259"/>
    </row>
    <row r="43" spans="1:249" s="99" customFormat="1" ht="15" customHeight="1" x14ac:dyDescent="0.2">
      <c r="A43" s="254">
        <v>14</v>
      </c>
      <c r="B43" s="257" t="s">
        <v>86</v>
      </c>
      <c r="C43" s="320"/>
      <c r="D43" s="320"/>
      <c r="E43" s="320"/>
      <c r="F43" s="139"/>
      <c r="G43" s="182"/>
      <c r="H43" s="182"/>
      <c r="I43" s="182"/>
      <c r="J43" s="182"/>
      <c r="K43" s="262"/>
      <c r="IF43" s="259"/>
      <c r="IG43" s="259"/>
      <c r="IH43" s="259"/>
      <c r="II43" s="259"/>
      <c r="IJ43" s="259"/>
      <c r="IK43" s="259"/>
      <c r="IL43" s="259"/>
      <c r="IM43" s="259"/>
      <c r="IN43" s="259"/>
      <c r="IO43" s="259"/>
    </row>
    <row r="44" spans="1:249" s="99" customFormat="1" ht="15" customHeight="1" x14ac:dyDescent="0.2">
      <c r="A44" s="258"/>
      <c r="B44" s="265" t="s">
        <v>142</v>
      </c>
      <c r="C44" s="323">
        <f t="shared" ref="C44:J44" si="5">SUM(C31:C43)</f>
        <v>0</v>
      </c>
      <c r="D44" s="323">
        <f t="shared" si="5"/>
        <v>0</v>
      </c>
      <c r="E44" s="323">
        <f t="shared" si="5"/>
        <v>0</v>
      </c>
      <c r="F44" s="266">
        <f t="shared" si="5"/>
        <v>4356496</v>
      </c>
      <c r="G44" s="266">
        <f>SUM(G31:G43)</f>
        <v>3073626</v>
      </c>
      <c r="H44" s="266">
        <f>SUM(H31:H43)</f>
        <v>1899530</v>
      </c>
      <c r="I44" s="266">
        <f t="shared" si="5"/>
        <v>2638443</v>
      </c>
      <c r="J44" s="266">
        <f t="shared" si="5"/>
        <v>3782750</v>
      </c>
      <c r="K44" s="262"/>
      <c r="IF44" s="259"/>
      <c r="IG44" s="259"/>
      <c r="IH44" s="259"/>
      <c r="II44" s="259"/>
      <c r="IJ44" s="259"/>
      <c r="IK44" s="259"/>
      <c r="IL44" s="259"/>
      <c r="IM44" s="259"/>
      <c r="IN44" s="259"/>
      <c r="IO44" s="259"/>
    </row>
    <row r="45" spans="1:249" s="42" customFormat="1" ht="15" customHeight="1" x14ac:dyDescent="0.2">
      <c r="A45" s="255"/>
      <c r="B45" s="263" t="s">
        <v>203</v>
      </c>
      <c r="C45" s="324">
        <f t="shared" ref="C45:J45" si="6">C29+C44</f>
        <v>114770442</v>
      </c>
      <c r="D45" s="324">
        <f t="shared" si="6"/>
        <v>114213342</v>
      </c>
      <c r="E45" s="324">
        <f t="shared" si="6"/>
        <v>124133145</v>
      </c>
      <c r="F45" s="264">
        <f t="shared" si="6"/>
        <v>118569838</v>
      </c>
      <c r="G45" s="264">
        <f t="shared" si="6"/>
        <v>121643464</v>
      </c>
      <c r="H45" s="264">
        <f t="shared" si="6"/>
        <v>123542994</v>
      </c>
      <c r="I45" s="264">
        <f t="shared" si="6"/>
        <v>126181437</v>
      </c>
      <c r="J45" s="264">
        <f t="shared" si="6"/>
        <v>129964187</v>
      </c>
      <c r="K45" s="127"/>
      <c r="IF45" s="43"/>
      <c r="IG45" s="43"/>
      <c r="IH45" s="43"/>
      <c r="II45" s="43"/>
      <c r="IJ45" s="43"/>
      <c r="IK45" s="43"/>
      <c r="IL45" s="43"/>
      <c r="IM45" s="43"/>
      <c r="IN45" s="43"/>
      <c r="IO45" s="43"/>
    </row>
    <row r="46" spans="1:249" s="99" customFormat="1" ht="15" customHeight="1" x14ac:dyDescent="0.2">
      <c r="A46" s="258"/>
      <c r="B46" s="303" t="s">
        <v>24</v>
      </c>
      <c r="C46" s="325">
        <f>C22-C45</f>
        <v>-753910</v>
      </c>
      <c r="D46" s="325">
        <f>D22-D45</f>
        <v>-706700</v>
      </c>
      <c r="E46" s="325"/>
      <c r="F46" s="304">
        <f>F22-F45</f>
        <v>155804</v>
      </c>
      <c r="G46" s="304">
        <f>G22-G45</f>
        <v>1147178</v>
      </c>
      <c r="H46" s="304">
        <f>H22-H45</f>
        <v>3447648</v>
      </c>
      <c r="I46" s="304">
        <f>I22-I45</f>
        <v>5168205</v>
      </c>
      <c r="J46" s="304">
        <f>J22-J45</f>
        <v>5134455</v>
      </c>
      <c r="K46" s="262"/>
      <c r="IF46" s="259"/>
      <c r="IG46" s="259"/>
      <c r="IH46" s="259"/>
      <c r="II46" s="259"/>
      <c r="IJ46" s="259"/>
      <c r="IK46" s="259"/>
      <c r="IL46" s="259"/>
      <c r="IM46" s="259"/>
      <c r="IN46" s="259"/>
      <c r="IO46" s="259"/>
    </row>
    <row r="47" spans="1:249" s="99" customFormat="1" ht="9" customHeight="1" x14ac:dyDescent="0.2">
      <c r="A47" s="258"/>
      <c r="B47" s="257"/>
      <c r="C47" s="326"/>
      <c r="D47" s="326"/>
      <c r="E47" s="326"/>
      <c r="F47" s="260"/>
      <c r="G47" s="261"/>
      <c r="H47" s="261"/>
      <c r="I47" s="261"/>
      <c r="J47" s="261"/>
      <c r="K47" s="262"/>
      <c r="IF47" s="259"/>
      <c r="IG47" s="259"/>
      <c r="IH47" s="259"/>
      <c r="II47" s="259"/>
      <c r="IJ47" s="259"/>
      <c r="IK47" s="259"/>
      <c r="IL47" s="259"/>
      <c r="IM47" s="259"/>
      <c r="IN47" s="259"/>
      <c r="IO47" s="259"/>
    </row>
    <row r="48" spans="1:249" s="99" customFormat="1" ht="15" customHeight="1" x14ac:dyDescent="0.2">
      <c r="A48" s="258"/>
      <c r="B48" s="45" t="s">
        <v>202</v>
      </c>
      <c r="C48" s="326"/>
      <c r="D48" s="326"/>
      <c r="E48" s="326"/>
      <c r="F48" s="260"/>
      <c r="G48" s="261"/>
      <c r="H48" s="261"/>
      <c r="I48" s="261"/>
      <c r="J48" s="261"/>
      <c r="K48" s="262"/>
      <c r="IF48" s="259"/>
      <c r="IG48" s="259"/>
      <c r="IH48" s="259"/>
      <c r="II48" s="259"/>
      <c r="IJ48" s="259"/>
      <c r="IK48" s="259"/>
      <c r="IL48" s="259"/>
      <c r="IM48" s="259"/>
      <c r="IN48" s="259"/>
      <c r="IO48" s="259"/>
    </row>
    <row r="49" spans="1:249" ht="15" customHeight="1" x14ac:dyDescent="0.2">
      <c r="A49" s="254">
        <v>15</v>
      </c>
      <c r="B49" s="257" t="s">
        <v>174</v>
      </c>
      <c r="C49" s="320"/>
      <c r="D49" s="320"/>
      <c r="E49" s="320">
        <v>-1000000</v>
      </c>
      <c r="F49" s="139"/>
      <c r="G49" s="182"/>
      <c r="H49" s="182"/>
      <c r="I49" s="182"/>
      <c r="J49" s="182"/>
    </row>
    <row r="50" spans="1:249" ht="15" customHeight="1" x14ac:dyDescent="0.2">
      <c r="A50" s="254">
        <v>13</v>
      </c>
      <c r="B50" s="257" t="s">
        <v>148</v>
      </c>
      <c r="C50" s="320"/>
      <c r="D50" s="320"/>
      <c r="E50" s="320"/>
      <c r="F50" s="139">
        <v>404600</v>
      </c>
      <c r="G50" s="182">
        <v>300560</v>
      </c>
      <c r="H50" s="182">
        <f>G50</f>
        <v>300560</v>
      </c>
      <c r="I50" s="182">
        <f>H50</f>
        <v>300560</v>
      </c>
      <c r="J50" s="182">
        <f t="shared" ref="J50" si="7">I50</f>
        <v>300560</v>
      </c>
    </row>
    <row r="51" spans="1:249" s="99" customFormat="1" ht="15" customHeight="1" x14ac:dyDescent="0.2">
      <c r="A51" s="254">
        <v>16</v>
      </c>
      <c r="B51" s="257" t="s">
        <v>186</v>
      </c>
      <c r="C51" s="320"/>
      <c r="D51" s="320"/>
      <c r="E51" s="320"/>
      <c r="F51" s="139"/>
      <c r="G51" s="182"/>
      <c r="H51" s="182"/>
      <c r="I51" s="182"/>
      <c r="J51" s="182"/>
      <c r="K51" s="262"/>
      <c r="IF51" s="259"/>
      <c r="IG51" s="259"/>
      <c r="IH51" s="259"/>
      <c r="II51" s="259"/>
      <c r="IJ51" s="259"/>
      <c r="IK51" s="259"/>
      <c r="IL51" s="259"/>
      <c r="IM51" s="259"/>
      <c r="IN51" s="259"/>
      <c r="IO51" s="259"/>
    </row>
    <row r="52" spans="1:249" ht="15" customHeight="1" x14ac:dyDescent="0.2">
      <c r="A52" s="254"/>
      <c r="B52" s="305" t="s">
        <v>205</v>
      </c>
      <c r="C52" s="327">
        <f>SUM(C48:C48)</f>
        <v>0</v>
      </c>
      <c r="D52" s="327">
        <f>SUM(D48:D48)</f>
        <v>0</v>
      </c>
      <c r="E52" s="327">
        <f t="shared" ref="E52:J52" si="8">SUM(E48:E51)</f>
        <v>-1000000</v>
      </c>
      <c r="F52" s="306">
        <f t="shared" si="8"/>
        <v>404600</v>
      </c>
      <c r="G52" s="306">
        <f t="shared" si="8"/>
        <v>300560</v>
      </c>
      <c r="H52" s="306">
        <f t="shared" si="8"/>
        <v>300560</v>
      </c>
      <c r="I52" s="306">
        <f t="shared" si="8"/>
        <v>300560</v>
      </c>
      <c r="J52" s="306">
        <f t="shared" si="8"/>
        <v>300560</v>
      </c>
    </row>
    <row r="53" spans="1:249" s="42" customFormat="1" ht="15" customHeight="1" x14ac:dyDescent="0.2">
      <c r="A53" s="255"/>
      <c r="B53" s="307" t="s">
        <v>204</v>
      </c>
      <c r="C53" s="328">
        <f>C45+C52</f>
        <v>114770442</v>
      </c>
      <c r="D53" s="328">
        <f t="shared" ref="D53:J53" si="9">D45+D52</f>
        <v>114213342</v>
      </c>
      <c r="E53" s="328">
        <f t="shared" si="9"/>
        <v>123133145</v>
      </c>
      <c r="F53" s="308">
        <f t="shared" si="9"/>
        <v>118974438</v>
      </c>
      <c r="G53" s="308">
        <f t="shared" si="9"/>
        <v>121944024</v>
      </c>
      <c r="H53" s="308">
        <f t="shared" si="9"/>
        <v>123843554</v>
      </c>
      <c r="I53" s="308">
        <f t="shared" si="9"/>
        <v>126481997</v>
      </c>
      <c r="J53" s="308">
        <f t="shared" si="9"/>
        <v>130264747</v>
      </c>
      <c r="K53" s="127"/>
      <c r="IF53" s="43"/>
      <c r="IG53" s="43"/>
      <c r="IH53" s="43"/>
      <c r="II53" s="43"/>
      <c r="IJ53" s="43"/>
      <c r="IK53" s="43"/>
      <c r="IL53" s="43"/>
      <c r="IM53" s="43"/>
      <c r="IN53" s="43"/>
      <c r="IO53" s="43"/>
    </row>
    <row r="54" spans="1:249" s="42" customFormat="1" ht="15" customHeight="1" x14ac:dyDescent="0.2">
      <c r="A54" s="255"/>
      <c r="B54" s="78"/>
      <c r="C54" s="329"/>
      <c r="D54" s="329"/>
      <c r="E54" s="329"/>
      <c r="F54" s="151"/>
      <c r="G54" s="80"/>
      <c r="H54" s="80"/>
      <c r="I54" s="80"/>
      <c r="J54" s="80"/>
      <c r="IF54" s="43"/>
      <c r="IG54" s="43"/>
      <c r="IH54" s="43"/>
      <c r="II54" s="43"/>
      <c r="IJ54" s="43"/>
      <c r="IK54" s="43"/>
      <c r="IL54" s="43"/>
      <c r="IM54" s="43"/>
      <c r="IN54" s="43"/>
      <c r="IO54" s="43"/>
    </row>
    <row r="55" spans="1:249" s="69" customFormat="1" ht="15" customHeight="1" thickBot="1" x14ac:dyDescent="0.25">
      <c r="A55" s="254"/>
      <c r="B55" s="276" t="s">
        <v>146</v>
      </c>
      <c r="C55" s="330"/>
      <c r="D55" s="330"/>
      <c r="E55" s="330">
        <f t="shared" ref="E55:J55" si="10">E22-E53</f>
        <v>-9738578</v>
      </c>
      <c r="F55" s="277">
        <f t="shared" si="10"/>
        <v>-248796</v>
      </c>
      <c r="G55" s="277">
        <f t="shared" si="10"/>
        <v>846618</v>
      </c>
      <c r="H55" s="277">
        <f t="shared" si="10"/>
        <v>3147088</v>
      </c>
      <c r="I55" s="277">
        <f t="shared" si="10"/>
        <v>4867645</v>
      </c>
      <c r="J55" s="277">
        <f t="shared" si="10"/>
        <v>4833895</v>
      </c>
      <c r="K55" s="85"/>
      <c r="L55" s="42"/>
      <c r="M55" s="42"/>
      <c r="N55" s="42"/>
      <c r="O55" s="42"/>
    </row>
    <row r="56" spans="1:249" s="92" customFormat="1" ht="15" customHeight="1" thickTop="1" x14ac:dyDescent="0.2">
      <c r="A56" s="254"/>
      <c r="B56" s="96"/>
      <c r="C56" s="331"/>
      <c r="D56" s="331"/>
      <c r="E56" s="331"/>
      <c r="F56" s="129"/>
      <c r="G56" s="90"/>
      <c r="H56" s="90"/>
      <c r="I56" s="90"/>
      <c r="J56" s="90"/>
      <c r="K56" s="54"/>
      <c r="L56" s="91"/>
      <c r="M56" s="54"/>
      <c r="N56" s="54"/>
    </row>
    <row r="57" spans="1:249" s="92" customFormat="1" ht="15" customHeight="1" thickBot="1" x14ac:dyDescent="0.25">
      <c r="A57" s="254"/>
      <c r="B57" s="272" t="s">
        <v>95</v>
      </c>
      <c r="C57" s="332"/>
      <c r="D57" s="332"/>
      <c r="E57" s="332">
        <f t="shared" ref="E57:J57" si="11">E7+E22-E53</f>
        <v>7628699</v>
      </c>
      <c r="F57" s="273">
        <f t="shared" si="11"/>
        <v>7379903</v>
      </c>
      <c r="G57" s="273">
        <f t="shared" si="11"/>
        <v>8226521</v>
      </c>
      <c r="H57" s="273">
        <f t="shared" si="11"/>
        <v>11373609</v>
      </c>
      <c r="I57" s="273">
        <f t="shared" si="11"/>
        <v>16241254</v>
      </c>
      <c r="J57" s="273">
        <f t="shared" si="11"/>
        <v>21075149</v>
      </c>
      <c r="K57" s="54"/>
      <c r="L57" s="91"/>
      <c r="M57" s="54"/>
      <c r="N57" s="54"/>
    </row>
    <row r="58" spans="1:249" s="69" customFormat="1" ht="15" customHeight="1" thickTop="1" x14ac:dyDescent="0.2">
      <c r="A58" s="254"/>
      <c r="B58" s="111" t="s">
        <v>208</v>
      </c>
      <c r="C58" s="333"/>
      <c r="D58" s="333"/>
      <c r="E58" s="333">
        <f>E57/E45</f>
        <v>6.1455777987418268E-2</v>
      </c>
      <c r="F58" s="227">
        <f>F57/F45</f>
        <v>6.2240980712143672E-2</v>
      </c>
      <c r="G58" s="216">
        <f>G57/G45</f>
        <v>6.7628138245060171E-2</v>
      </c>
      <c r="H58" s="216">
        <f t="shared" ref="H58:J58" si="12">H57/H45</f>
        <v>9.2061950514166754E-2</v>
      </c>
      <c r="I58" s="216">
        <f t="shared" si="12"/>
        <v>0.1287134968989139</v>
      </c>
      <c r="J58" s="216">
        <f t="shared" si="12"/>
        <v>0.16216120368605852</v>
      </c>
      <c r="K58" s="85"/>
      <c r="L58" s="42"/>
      <c r="M58" s="42"/>
      <c r="N58" s="42"/>
      <c r="O58" s="42"/>
    </row>
    <row r="59" spans="1:249" s="69" customFormat="1" ht="15" customHeight="1" x14ac:dyDescent="0.2">
      <c r="A59" s="254"/>
      <c r="B59" s="21" t="s">
        <v>97</v>
      </c>
      <c r="C59" s="334"/>
      <c r="D59" s="334"/>
      <c r="E59" s="334">
        <f>E45*0.05</f>
        <v>6206657.25</v>
      </c>
      <c r="F59" s="309">
        <f>F45*0.05</f>
        <v>5928491.9000000004</v>
      </c>
      <c r="G59" s="270">
        <f t="shared" ref="G59:J59" si="13">G45*0.05</f>
        <v>6082173.2000000002</v>
      </c>
      <c r="H59" s="270">
        <f t="shared" si="13"/>
        <v>6177149.7000000002</v>
      </c>
      <c r="I59" s="270">
        <f t="shared" si="13"/>
        <v>6309071.8500000006</v>
      </c>
      <c r="J59" s="270">
        <f t="shared" si="13"/>
        <v>6498209.3500000006</v>
      </c>
      <c r="K59" s="85"/>
      <c r="L59" s="42"/>
      <c r="M59" s="42"/>
      <c r="N59" s="42"/>
      <c r="O59" s="42"/>
    </row>
    <row r="60" spans="1:249" s="69" customFormat="1" ht="15" customHeight="1" x14ac:dyDescent="0.2">
      <c r="A60" s="254"/>
      <c r="B60" s="344" t="s">
        <v>98</v>
      </c>
      <c r="C60" s="345"/>
      <c r="D60" s="345"/>
      <c r="E60" s="345">
        <f>E57-E59</f>
        <v>1422041.75</v>
      </c>
      <c r="F60" s="346">
        <f>F57-F59</f>
        <v>1451411.0999999996</v>
      </c>
      <c r="G60" s="346">
        <f t="shared" ref="G60:J60" si="14">G57-G59</f>
        <v>2144347.7999999998</v>
      </c>
      <c r="H60" s="346">
        <f t="shared" si="14"/>
        <v>5196459.3</v>
      </c>
      <c r="I60" s="346">
        <f t="shared" si="14"/>
        <v>9932182.1499999985</v>
      </c>
      <c r="J60" s="201">
        <f t="shared" si="14"/>
        <v>14576939.649999999</v>
      </c>
      <c r="K60" s="85"/>
      <c r="L60" s="42"/>
      <c r="M60" s="42"/>
      <c r="N60" s="42"/>
      <c r="O60" s="42"/>
    </row>
    <row r="61" spans="1:249" s="69" customFormat="1" ht="15" customHeight="1" x14ac:dyDescent="0.2">
      <c r="A61" s="254"/>
      <c r="B61" s="21" t="s">
        <v>182</v>
      </c>
      <c r="C61" s="334"/>
      <c r="D61" s="334"/>
      <c r="E61" s="334">
        <f>E45*0.04</f>
        <v>4965325.8</v>
      </c>
      <c r="F61" s="309">
        <f t="shared" ref="F61:I61" si="15">F45*0.04</f>
        <v>4742793.5200000005</v>
      </c>
      <c r="G61" s="270">
        <f t="shared" si="15"/>
        <v>4865738.5600000005</v>
      </c>
      <c r="H61" s="270">
        <f t="shared" si="15"/>
        <v>4941719.76</v>
      </c>
      <c r="I61" s="270">
        <f t="shared" si="15"/>
        <v>5047257.4800000004</v>
      </c>
      <c r="J61" s="270">
        <f t="shared" ref="J61" si="16">J48*0.05</f>
        <v>0</v>
      </c>
      <c r="K61" s="85"/>
      <c r="L61" s="42"/>
      <c r="M61" s="42"/>
      <c r="N61" s="42"/>
      <c r="O61" s="42"/>
    </row>
    <row r="62" spans="1:249" s="69" customFormat="1" ht="15" customHeight="1" x14ac:dyDescent="0.2">
      <c r="A62" s="254"/>
      <c r="B62" s="344" t="s">
        <v>183</v>
      </c>
      <c r="C62" s="345"/>
      <c r="D62" s="345"/>
      <c r="E62" s="345">
        <f>E57-E61</f>
        <v>2663373.2000000002</v>
      </c>
      <c r="F62" s="347">
        <f t="shared" ref="F62:I62" si="17">F57-F61</f>
        <v>2637109.4799999995</v>
      </c>
      <c r="G62" s="347">
        <f t="shared" si="17"/>
        <v>3360782.4399999995</v>
      </c>
      <c r="H62" s="347">
        <f t="shared" si="17"/>
        <v>6431889.2400000002</v>
      </c>
      <c r="I62" s="347">
        <f t="shared" si="17"/>
        <v>11193996.52</v>
      </c>
      <c r="J62" s="201">
        <f t="shared" ref="J62" si="18">J59-J61</f>
        <v>6498209.3500000006</v>
      </c>
      <c r="K62" s="85"/>
      <c r="L62" s="42"/>
      <c r="M62" s="42"/>
      <c r="N62" s="42"/>
      <c r="O62" s="42"/>
    </row>
    <row r="63" spans="1:249" ht="15" customHeight="1" x14ac:dyDescent="0.2">
      <c r="A63" s="253"/>
    </row>
    <row r="64" spans="1:249" ht="15" customHeight="1" x14ac:dyDescent="0.2">
      <c r="A64" s="253"/>
      <c r="IA64"/>
      <c r="IB64"/>
      <c r="IC64"/>
      <c r="ID64"/>
      <c r="IE64"/>
    </row>
    <row r="65" spans="1:249" ht="15" customHeight="1" x14ac:dyDescent="0.2">
      <c r="A65" s="253"/>
      <c r="B65" s="343" t="s">
        <v>180</v>
      </c>
      <c r="C65" s="336"/>
      <c r="E65" s="381" t="s">
        <v>147</v>
      </c>
      <c r="F65" s="382"/>
      <c r="G65" s="382"/>
      <c r="H65" s="383"/>
      <c r="HZ65"/>
      <c r="IA65"/>
      <c r="IB65"/>
      <c r="IC65"/>
      <c r="ID65"/>
      <c r="IE65"/>
    </row>
    <row r="66" spans="1:249" ht="15" customHeight="1" x14ac:dyDescent="0.2">
      <c r="A66" s="253"/>
      <c r="B66" s="338" t="s">
        <v>179</v>
      </c>
      <c r="C66" s="257"/>
      <c r="E66" s="70" t="s">
        <v>148</v>
      </c>
      <c r="F66" s="87"/>
      <c r="G66" s="278"/>
      <c r="H66" s="281">
        <v>500000</v>
      </c>
      <c r="HZ66"/>
      <c r="IA66"/>
      <c r="IB66"/>
      <c r="IC66"/>
      <c r="ID66"/>
      <c r="IE66"/>
    </row>
    <row r="67" spans="1:249" ht="15" customHeight="1" x14ac:dyDescent="0.2">
      <c r="A67" s="253"/>
      <c r="B67" s="339" t="s">
        <v>176</v>
      </c>
      <c r="C67" s="335"/>
      <c r="E67" s="117" t="s">
        <v>175</v>
      </c>
      <c r="F67" s="96"/>
      <c r="G67" s="278"/>
      <c r="H67" s="281">
        <v>300000</v>
      </c>
      <c r="HZ67"/>
      <c r="IA67"/>
      <c r="IB67"/>
      <c r="IC67"/>
      <c r="ID67"/>
      <c r="IE67"/>
    </row>
    <row r="68" spans="1:249" ht="15" customHeight="1" x14ac:dyDescent="0.2">
      <c r="A68" s="253"/>
      <c r="B68" s="340" t="s">
        <v>173</v>
      </c>
      <c r="C68" s="335"/>
      <c r="E68" s="117" t="s">
        <v>28</v>
      </c>
      <c r="F68" s="96"/>
      <c r="G68" s="278"/>
      <c r="H68" s="281">
        <v>300000</v>
      </c>
      <c r="HZ68"/>
      <c r="IA68"/>
      <c r="IB68"/>
      <c r="IC68"/>
      <c r="ID68"/>
      <c r="IE68"/>
    </row>
    <row r="69" spans="1:249" ht="15" customHeight="1" x14ac:dyDescent="0.2">
      <c r="A69" s="253"/>
      <c r="B69" s="341" t="s">
        <v>177</v>
      </c>
      <c r="C69" s="335"/>
      <c r="E69" s="117" t="s">
        <v>42</v>
      </c>
      <c r="F69" s="96"/>
      <c r="G69" s="278"/>
      <c r="H69" s="281">
        <v>115000</v>
      </c>
      <c r="HZ69"/>
      <c r="IA69"/>
      <c r="IB69"/>
      <c r="IC69"/>
      <c r="ID69"/>
      <c r="IE69"/>
    </row>
    <row r="70" spans="1:249" ht="15" customHeight="1" x14ac:dyDescent="0.2">
      <c r="A70" s="253"/>
      <c r="B70" s="342" t="s">
        <v>178</v>
      </c>
      <c r="C70" s="335"/>
      <c r="E70" s="282" t="s">
        <v>125</v>
      </c>
      <c r="F70" s="279"/>
      <c r="G70" s="280"/>
      <c r="H70" s="283">
        <v>406000</v>
      </c>
      <c r="HZ70"/>
      <c r="IA70"/>
      <c r="IB70"/>
      <c r="IC70"/>
      <c r="ID70"/>
      <c r="IE70"/>
    </row>
    <row r="71" spans="1:249" ht="15" customHeight="1" x14ac:dyDescent="0.2">
      <c r="A71" s="253"/>
      <c r="B71" s="348" t="s">
        <v>184</v>
      </c>
      <c r="C71" s="87"/>
      <c r="E71" s="284" t="s">
        <v>149</v>
      </c>
      <c r="F71" s="285"/>
      <c r="G71" s="286"/>
      <c r="H71" s="287">
        <f>SUM(H66:H70)</f>
        <v>1621000</v>
      </c>
      <c r="IE71"/>
    </row>
    <row r="72" spans="1:249" x14ac:dyDescent="0.2">
      <c r="A72" s="253"/>
      <c r="B72" s="349" t="s">
        <v>185</v>
      </c>
    </row>
    <row r="73" spans="1:249" x14ac:dyDescent="0.2">
      <c r="A73" s="253"/>
    </row>
    <row r="74" spans="1:249" x14ac:dyDescent="0.2">
      <c r="A74" s="253"/>
    </row>
    <row r="75" spans="1:249" x14ac:dyDescent="0.2">
      <c r="A75" s="253"/>
    </row>
    <row r="76" spans="1:249" x14ac:dyDescent="0.2">
      <c r="A76" s="253"/>
    </row>
    <row r="77" spans="1:249" x14ac:dyDescent="0.2">
      <c r="A77" s="253"/>
    </row>
    <row r="78" spans="1:249" x14ac:dyDescent="0.2">
      <c r="A78" s="253"/>
    </row>
    <row r="79" spans="1:249" x14ac:dyDescent="0.2">
      <c r="A79" s="253"/>
    </row>
    <row r="80" spans="1:249" s="5" customFormat="1" x14ac:dyDescent="0.2">
      <c r="A80" s="253"/>
      <c r="C80" s="271"/>
      <c r="D80" s="271"/>
      <c r="E80" s="271"/>
      <c r="IF80"/>
      <c r="IG80"/>
      <c r="IH80"/>
      <c r="II80"/>
      <c r="IJ80"/>
      <c r="IK80"/>
      <c r="IL80"/>
      <c r="IM80"/>
      <c r="IN80"/>
      <c r="IO80"/>
    </row>
    <row r="81" spans="1:249" s="5" customFormat="1" x14ac:dyDescent="0.2">
      <c r="A81" s="253"/>
      <c r="C81" s="271"/>
      <c r="D81" s="271"/>
      <c r="E81" s="271"/>
      <c r="IF81"/>
      <c r="IG81"/>
      <c r="IH81"/>
      <c r="II81"/>
      <c r="IJ81"/>
      <c r="IK81"/>
      <c r="IL81"/>
      <c r="IM81"/>
      <c r="IN81"/>
      <c r="IO81"/>
    </row>
  </sheetData>
  <sheetProtection selectLockedCells="1" selectUnlockedCells="1"/>
  <mergeCells count="1">
    <mergeCell ref="E65:H65"/>
  </mergeCells>
  <printOptions horizontalCentered="1"/>
  <pageMargins left="0.25" right="0.25" top="0.75" bottom="0.75" header="0.3" footer="0.3"/>
  <pageSetup scale="62" firstPageNumber="0" orientation="portrait" cellComments="atEnd" r:id="rId1"/>
  <headerFooter alignWithMargins="0">
    <oddHeader>&amp;C&amp;14Humboldt State University
Budget Planning for FY14-15</oddHeader>
    <oddFooter>&amp;F</oddFooter>
  </headerFooter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19" sqref="F19"/>
    </sheetView>
  </sheetViews>
  <sheetFormatPr defaultRowHeight="12.75" x14ac:dyDescent="0.2"/>
  <cols>
    <col min="1" max="1" width="38.5703125" bestFit="1" customWidth="1"/>
    <col min="2" max="2" width="12.85546875" bestFit="1" customWidth="1"/>
  </cols>
  <sheetData>
    <row r="1" spans="1:3" ht="18" x14ac:dyDescent="0.25">
      <c r="A1" s="375" t="s">
        <v>201</v>
      </c>
    </row>
    <row r="3" spans="1:3" x14ac:dyDescent="0.2">
      <c r="A3" t="s">
        <v>189</v>
      </c>
    </row>
    <row r="4" spans="1:3" x14ac:dyDescent="0.2">
      <c r="A4" t="str">
        <f>'2014-15 Planning ACTIVE'!B41</f>
        <v>Enrollment Growth Model Base Funding</v>
      </c>
      <c r="B4" s="189">
        <f>'2014-15 Planning ACTIVE'!F41</f>
        <v>358496</v>
      </c>
    </row>
    <row r="5" spans="1:3" x14ac:dyDescent="0.2">
      <c r="A5" t="str">
        <f>'2014-15 Planning ACTIVE'!B42</f>
        <v xml:space="preserve">Enrollment Growth Funding from CSU </v>
      </c>
      <c r="B5" s="189">
        <f>'2014-15 Planning ACTIVE'!F42</f>
        <v>768000</v>
      </c>
    </row>
    <row r="6" spans="1:3" x14ac:dyDescent="0.2">
      <c r="A6" t="s">
        <v>188</v>
      </c>
      <c r="B6" s="357">
        <f>SUM(B4:B5)</f>
        <v>1126496</v>
      </c>
    </row>
    <row r="8" spans="1:3" x14ac:dyDescent="0.2">
      <c r="A8" t="s">
        <v>198</v>
      </c>
      <c r="B8" s="361" t="s">
        <v>200</v>
      </c>
      <c r="C8" s="361" t="s">
        <v>196</v>
      </c>
    </row>
    <row r="9" spans="1:3" x14ac:dyDescent="0.2">
      <c r="A9" t="s">
        <v>191</v>
      </c>
      <c r="B9" s="356">
        <f t="shared" ref="B9:B14" si="0">C9*$B$6</f>
        <v>5632.4800000000005</v>
      </c>
      <c r="C9" s="358">
        <v>5.0000000000000001E-3</v>
      </c>
    </row>
    <row r="10" spans="1:3" x14ac:dyDescent="0.2">
      <c r="A10" t="s">
        <v>192</v>
      </c>
      <c r="B10" s="356">
        <f t="shared" si="0"/>
        <v>16897.439999999999</v>
      </c>
      <c r="C10" s="358">
        <v>1.4999999999999999E-2</v>
      </c>
    </row>
    <row r="11" spans="1:3" x14ac:dyDescent="0.2">
      <c r="A11" t="s">
        <v>193</v>
      </c>
      <c r="B11" s="356">
        <f t="shared" si="0"/>
        <v>867401.92</v>
      </c>
      <c r="C11" s="358">
        <v>0.77</v>
      </c>
    </row>
    <row r="12" spans="1:3" x14ac:dyDescent="0.2">
      <c r="A12" t="s">
        <v>197</v>
      </c>
      <c r="B12" s="356">
        <f t="shared" si="0"/>
        <v>99131.648000000001</v>
      </c>
      <c r="C12" s="358">
        <v>8.7999999999999995E-2</v>
      </c>
    </row>
    <row r="13" spans="1:3" x14ac:dyDescent="0.2">
      <c r="A13" t="s">
        <v>194</v>
      </c>
      <c r="B13" s="356">
        <f t="shared" si="0"/>
        <v>92372.672000000006</v>
      </c>
      <c r="C13" s="358">
        <v>8.2000000000000003E-2</v>
      </c>
    </row>
    <row r="14" spans="1:3" x14ac:dyDescent="0.2">
      <c r="A14" t="s">
        <v>195</v>
      </c>
      <c r="B14" s="356">
        <f t="shared" si="0"/>
        <v>45059.840000000004</v>
      </c>
      <c r="C14" s="358">
        <v>0.04</v>
      </c>
    </row>
    <row r="15" spans="1:3" x14ac:dyDescent="0.2">
      <c r="B15" s="355">
        <f>SUM(B9:B14)</f>
        <v>1126496.0000000002</v>
      </c>
      <c r="C15" s="377">
        <f>SUM(C9:C14)</f>
        <v>1</v>
      </c>
    </row>
    <row r="18" spans="1:3" x14ac:dyDescent="0.2">
      <c r="A18" t="s">
        <v>190</v>
      </c>
    </row>
    <row r="19" spans="1:3" x14ac:dyDescent="0.2">
      <c r="A19" t="str">
        <f>'2014-15 Planning ACTIVE'!B50</f>
        <v>Enrollment Growth Model One Time Funding</v>
      </c>
      <c r="B19" s="189">
        <f>'2014-15 Planning ACTIVE'!F50</f>
        <v>404600</v>
      </c>
    </row>
    <row r="21" spans="1:3" x14ac:dyDescent="0.2">
      <c r="A21" t="s">
        <v>199</v>
      </c>
      <c r="B21" s="361" t="s">
        <v>200</v>
      </c>
      <c r="C21" s="361" t="s">
        <v>196</v>
      </c>
    </row>
    <row r="22" spans="1:3" x14ac:dyDescent="0.2">
      <c r="A22" t="s">
        <v>191</v>
      </c>
      <c r="B22" s="356">
        <f>C22*$B$19</f>
        <v>2023</v>
      </c>
      <c r="C22" s="358">
        <v>5.0000000000000001E-3</v>
      </c>
    </row>
    <row r="23" spans="1:3" x14ac:dyDescent="0.2">
      <c r="A23" t="s">
        <v>192</v>
      </c>
      <c r="B23" s="356">
        <f t="shared" ref="B23:B27" si="1">C23*$B$19</f>
        <v>6069</v>
      </c>
      <c r="C23" s="358">
        <v>1.4999999999999999E-2</v>
      </c>
    </row>
    <row r="24" spans="1:3" x14ac:dyDescent="0.2">
      <c r="A24" t="s">
        <v>193</v>
      </c>
      <c r="B24" s="356">
        <f t="shared" si="1"/>
        <v>311542</v>
      </c>
      <c r="C24" s="358">
        <v>0.77</v>
      </c>
    </row>
    <row r="25" spans="1:3" x14ac:dyDescent="0.2">
      <c r="A25" t="s">
        <v>197</v>
      </c>
      <c r="B25" s="356">
        <f t="shared" si="1"/>
        <v>35604.799999999996</v>
      </c>
      <c r="C25" s="358">
        <v>8.7999999999999995E-2</v>
      </c>
    </row>
    <row r="26" spans="1:3" x14ac:dyDescent="0.2">
      <c r="A26" t="s">
        <v>194</v>
      </c>
      <c r="B26" s="356">
        <f t="shared" si="1"/>
        <v>33177.200000000004</v>
      </c>
      <c r="C26" s="358">
        <v>8.2000000000000003E-2</v>
      </c>
    </row>
    <row r="27" spans="1:3" x14ac:dyDescent="0.2">
      <c r="A27" t="s">
        <v>195</v>
      </c>
      <c r="B27" s="356">
        <f t="shared" si="1"/>
        <v>16184</v>
      </c>
      <c r="C27" s="358">
        <v>0.04</v>
      </c>
    </row>
    <row r="28" spans="1:3" x14ac:dyDescent="0.2">
      <c r="B28" s="355">
        <f>SUM(B22:B27)</f>
        <v>404600</v>
      </c>
      <c r="C28" s="377">
        <f>SUM(C22:C27)</f>
        <v>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22" sqref="H22"/>
    </sheetView>
  </sheetViews>
  <sheetFormatPr defaultRowHeight="12.75" x14ac:dyDescent="0.2"/>
  <cols>
    <col min="1" max="1" width="28.7109375" customWidth="1"/>
    <col min="2" max="6" width="12" customWidth="1"/>
  </cols>
  <sheetData>
    <row r="1" spans="1:6" ht="29.25" thickBot="1" x14ac:dyDescent="0.25">
      <c r="A1" s="291" t="s">
        <v>154</v>
      </c>
      <c r="B1" s="292" t="s">
        <v>155</v>
      </c>
      <c r="C1" s="292" t="s">
        <v>156</v>
      </c>
      <c r="D1" s="292" t="s">
        <v>157</v>
      </c>
      <c r="E1" s="292" t="s">
        <v>158</v>
      </c>
      <c r="F1" s="292" t="s">
        <v>159</v>
      </c>
    </row>
    <row r="2" spans="1:6" ht="16.5" thickTop="1" thickBot="1" x14ac:dyDescent="0.25">
      <c r="A2" s="293" t="s">
        <v>160</v>
      </c>
      <c r="B2" s="294">
        <v>7025</v>
      </c>
      <c r="C2" s="294">
        <v>7251</v>
      </c>
      <c r="D2" s="294">
        <f>C2+100</f>
        <v>7351</v>
      </c>
      <c r="E2" s="294">
        <f t="shared" ref="E2:F2" si="0">D2+100</f>
        <v>7451</v>
      </c>
      <c r="F2" s="294">
        <f t="shared" si="0"/>
        <v>7551</v>
      </c>
    </row>
    <row r="3" spans="1:6" ht="15.75" thickBot="1" x14ac:dyDescent="0.25">
      <c r="A3" s="295" t="s">
        <v>161</v>
      </c>
      <c r="B3" s="296">
        <v>387</v>
      </c>
      <c r="C3" s="296">
        <v>350</v>
      </c>
      <c r="D3" s="296">
        <v>350</v>
      </c>
      <c r="E3" s="296">
        <v>350</v>
      </c>
      <c r="F3" s="296">
        <v>350</v>
      </c>
    </row>
    <row r="4" spans="1:6" ht="15.75" thickBot="1" x14ac:dyDescent="0.25">
      <c r="A4" s="293" t="s">
        <v>162</v>
      </c>
      <c r="B4" s="297">
        <v>128</v>
      </c>
      <c r="C4" s="297">
        <v>128</v>
      </c>
      <c r="D4" s="297">
        <v>130</v>
      </c>
      <c r="E4" s="297">
        <v>132</v>
      </c>
      <c r="F4" s="297">
        <v>134</v>
      </c>
    </row>
    <row r="5" spans="1:6" ht="15.75" thickBot="1" x14ac:dyDescent="0.25">
      <c r="A5" s="295" t="s">
        <v>163</v>
      </c>
      <c r="B5" s="296">
        <v>58</v>
      </c>
      <c r="C5" s="296">
        <v>58</v>
      </c>
      <c r="D5" s="296">
        <v>60</v>
      </c>
      <c r="E5" s="296">
        <v>62</v>
      </c>
      <c r="F5" s="296">
        <v>64</v>
      </c>
    </row>
    <row r="6" spans="1:6" ht="15.75" thickBot="1" x14ac:dyDescent="0.25">
      <c r="A6" s="298" t="s">
        <v>164</v>
      </c>
      <c r="B6" s="299">
        <f>SUM(B2:B5)</f>
        <v>7598</v>
      </c>
      <c r="C6" s="299">
        <f>SUM(C2:C5)</f>
        <v>7787</v>
      </c>
      <c r="D6" s="299">
        <f t="shared" ref="D6:F6" si="1">SUM(D2:D5)</f>
        <v>7891</v>
      </c>
      <c r="E6" s="299">
        <f t="shared" si="1"/>
        <v>7995</v>
      </c>
      <c r="F6" s="299">
        <f t="shared" si="1"/>
        <v>8099</v>
      </c>
    </row>
    <row r="7" spans="1:6" ht="15.75" thickBot="1" x14ac:dyDescent="0.25">
      <c r="A7" s="295" t="s">
        <v>165</v>
      </c>
      <c r="B7" s="300">
        <f>B6-7360</f>
        <v>238</v>
      </c>
      <c r="C7" s="300">
        <f>C6-B6</f>
        <v>189</v>
      </c>
      <c r="D7" s="300">
        <f t="shared" ref="D7:F7" si="2">D6-C6</f>
        <v>104</v>
      </c>
      <c r="E7" s="300">
        <f t="shared" si="2"/>
        <v>104</v>
      </c>
      <c r="F7" s="300">
        <f t="shared" si="2"/>
        <v>104</v>
      </c>
    </row>
    <row r="8" spans="1:6" ht="15.75" thickBot="1" x14ac:dyDescent="0.25">
      <c r="A8" s="298" t="s">
        <v>166</v>
      </c>
      <c r="B8" s="299">
        <v>8056</v>
      </c>
      <c r="C8" s="299">
        <v>8229</v>
      </c>
      <c r="D8" s="299">
        <v>8339</v>
      </c>
      <c r="E8" s="299">
        <v>8448</v>
      </c>
      <c r="F8" s="299">
        <v>8560</v>
      </c>
    </row>
    <row r="10" spans="1:6" x14ac:dyDescent="0.2">
      <c r="B10" s="366"/>
      <c r="C10" s="366"/>
      <c r="D10" s="366"/>
      <c r="E10" s="366"/>
      <c r="F10" s="36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89"/>
  <sheetViews>
    <sheetView showGridLines="0" zoomScaleNormal="100" workbookViewId="0">
      <selection activeCell="G55" sqref="G52:G55"/>
    </sheetView>
  </sheetViews>
  <sheetFormatPr defaultRowHeight="12.75" x14ac:dyDescent="0.2"/>
  <cols>
    <col min="1" max="1" width="48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10" width="12.28515625" style="5" bestFit="1" customWidth="1"/>
    <col min="11" max="11" width="11.28515625" style="5" bestFit="1" customWidth="1"/>
    <col min="12" max="12" width="17.7109375" style="5" bestFit="1" customWidth="1"/>
    <col min="13" max="13" width="9.140625" style="5"/>
    <col min="14" max="14" width="18" style="5" bestFit="1" customWidth="1"/>
    <col min="15" max="240" width="9.140625" style="5"/>
  </cols>
  <sheetData>
    <row r="1" spans="1:250" ht="57" customHeight="1" x14ac:dyDescent="0.2">
      <c r="A1" s="1" t="s">
        <v>121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  <c r="J1" s="4" t="s">
        <v>110</v>
      </c>
    </row>
    <row r="2" spans="1:250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  <c r="J2" s="9">
        <v>0</v>
      </c>
    </row>
    <row r="3" spans="1:250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1.056</v>
      </c>
      <c r="H3" s="14">
        <f>G3</f>
        <v>1.056</v>
      </c>
      <c r="I3" s="14">
        <f>H3</f>
        <v>1.056</v>
      </c>
      <c r="J3" s="14">
        <f>I3</f>
        <v>1.056</v>
      </c>
    </row>
    <row r="4" spans="1:250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2">
        <v>7550</v>
      </c>
      <c r="K4" s="219" t="s">
        <v>112</v>
      </c>
    </row>
    <row r="5" spans="1:250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7151</v>
      </c>
      <c r="H5" s="17">
        <v>7275</v>
      </c>
      <c r="I5" s="17">
        <v>7400</v>
      </c>
      <c r="J5" s="17">
        <v>7500</v>
      </c>
      <c r="K5" s="223">
        <f>J5-F5</f>
        <v>500</v>
      </c>
      <c r="L5" s="225" t="s">
        <v>103</v>
      </c>
    </row>
    <row r="6" spans="1:250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17">
        <v>270</v>
      </c>
      <c r="K6" s="223">
        <f t="shared" ref="K6:K7" si="0">J6-F6</f>
        <v>-180</v>
      </c>
      <c r="L6" s="225" t="s">
        <v>104</v>
      </c>
    </row>
    <row r="7" spans="1:250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195</v>
      </c>
      <c r="H7" s="17">
        <v>205</v>
      </c>
      <c r="I7" s="17">
        <v>210</v>
      </c>
      <c r="J7" s="17">
        <v>215</v>
      </c>
      <c r="K7" s="223">
        <f t="shared" si="0"/>
        <v>18</v>
      </c>
      <c r="L7" s="225" t="s">
        <v>105</v>
      </c>
    </row>
    <row r="8" spans="1:250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 t="shared" ref="E8:J8" si="2">SUM(E5:E7)</f>
        <v>7647</v>
      </c>
      <c r="F8" s="163">
        <f t="shared" si="2"/>
        <v>7647</v>
      </c>
      <c r="G8" s="140">
        <f t="shared" si="2"/>
        <v>7726</v>
      </c>
      <c r="H8" s="23">
        <f t="shared" si="2"/>
        <v>7820</v>
      </c>
      <c r="I8" s="23">
        <f t="shared" si="2"/>
        <v>7910</v>
      </c>
      <c r="J8" s="23">
        <f t="shared" si="2"/>
        <v>7985</v>
      </c>
      <c r="K8" s="224">
        <f>SUM(K5:K7)</f>
        <v>338</v>
      </c>
      <c r="L8" s="226" t="s">
        <v>100</v>
      </c>
    </row>
    <row r="9" spans="1:250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79</v>
      </c>
      <c r="H9" s="26">
        <f>H8-G8</f>
        <v>94</v>
      </c>
      <c r="I9" s="26">
        <f>I8-H8</f>
        <v>90</v>
      </c>
      <c r="J9" s="26">
        <f>J8-I8</f>
        <v>75</v>
      </c>
      <c r="K9" s="220"/>
      <c r="L9" s="221"/>
    </row>
    <row r="10" spans="1:250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  <c r="J10" s="31"/>
    </row>
    <row r="11" spans="1:250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8161</v>
      </c>
      <c r="H11" s="31">
        <v>8263</v>
      </c>
      <c r="I11" s="31">
        <v>8361</v>
      </c>
      <c r="J11" s="31">
        <v>8442</v>
      </c>
      <c r="K11" s="222"/>
      <c r="L11" s="222"/>
    </row>
    <row r="12" spans="1:250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31"/>
      <c r="K12" s="124"/>
      <c r="L12" s="126"/>
    </row>
    <row r="13" spans="1:250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7"/>
      <c r="K13" s="125"/>
      <c r="L13" s="126"/>
    </row>
    <row r="14" spans="1:250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F20</f>
        <v>60415210</v>
      </c>
      <c r="H14" s="37">
        <f>G20</f>
        <v>64092210</v>
      </c>
      <c r="I14" s="37">
        <f>H20</f>
        <v>67508210</v>
      </c>
      <c r="J14" s="37">
        <f>I20</f>
        <v>71061210</v>
      </c>
      <c r="IG14"/>
      <c r="IH14"/>
      <c r="II14"/>
      <c r="IJ14"/>
      <c r="IK14"/>
      <c r="IL14"/>
      <c r="IM14"/>
      <c r="IN14"/>
      <c r="IO14"/>
      <c r="IP14"/>
    </row>
    <row r="15" spans="1:250" s="42" customFormat="1" ht="12.75" customHeight="1" x14ac:dyDescent="0.2">
      <c r="A15" s="38" t="s">
        <v>120</v>
      </c>
      <c r="B15" s="39"/>
      <c r="C15" s="39"/>
      <c r="D15" s="40"/>
      <c r="E15" s="166"/>
      <c r="F15" s="166"/>
      <c r="G15" s="128">
        <f>ROUND(142200000*0.026*0.7,-3)</f>
        <v>2588000</v>
      </c>
      <c r="H15" s="41">
        <f>ROUND(119500000*0.026*0.7,-3)</f>
        <v>2175000</v>
      </c>
      <c r="I15" s="41">
        <f>ROUND(124300000*0.026*0.7,-3)</f>
        <v>2262000</v>
      </c>
      <c r="J15" s="41">
        <f>ROUND(124300000*1.04*0.026*0.7,-3)</f>
        <v>2353000</v>
      </c>
      <c r="K15" s="42" t="s">
        <v>82</v>
      </c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42" customFormat="1" ht="12.75" customHeight="1" x14ac:dyDescent="0.2">
      <c r="A16" s="38" t="s">
        <v>119</v>
      </c>
      <c r="B16" s="39"/>
      <c r="C16" s="39"/>
      <c r="D16" s="40"/>
      <c r="E16" s="166"/>
      <c r="F16" s="166"/>
      <c r="G16" s="128">
        <f>ROUND(142200000*0.026*0.2,-3)</f>
        <v>739000</v>
      </c>
      <c r="H16" s="41">
        <f>ROUND(119500000*0.026*0.2,-3)</f>
        <v>621000</v>
      </c>
      <c r="I16" s="41">
        <f>ROUND(124300000*0.026*0.2,-3)</f>
        <v>646000</v>
      </c>
      <c r="J16" s="41">
        <f>ROUND(124300000*1.04*0.026*0.2,-3)</f>
        <v>672000</v>
      </c>
      <c r="K16" s="42" t="s">
        <v>63</v>
      </c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246" t="s">
        <v>116</v>
      </c>
      <c r="I17" s="41"/>
      <c r="J17" s="41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>
        <f>G34</f>
        <v>350000</v>
      </c>
      <c r="H18" s="41">
        <f>H34-10000</f>
        <v>620000</v>
      </c>
      <c r="I18" s="41">
        <f>I34-20000</f>
        <v>645000</v>
      </c>
      <c r="J18" s="41">
        <f>J34-30000</f>
        <v>670000</v>
      </c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42" customFormat="1" ht="12.75" hidden="1" customHeight="1" x14ac:dyDescent="0.2">
      <c r="A19" s="38" t="s">
        <v>118</v>
      </c>
      <c r="B19" s="39"/>
      <c r="C19" s="39"/>
      <c r="D19" s="40"/>
      <c r="E19" s="166"/>
      <c r="F19" s="166"/>
      <c r="G19" s="249"/>
      <c r="H19" s="41"/>
      <c r="I19" s="41"/>
      <c r="J19" s="41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2" customFormat="1" ht="12.75" customHeight="1" x14ac:dyDescent="0.2">
      <c r="A20" s="44" t="s">
        <v>11</v>
      </c>
      <c r="B20" s="45"/>
      <c r="C20" s="45"/>
      <c r="D20" s="22">
        <f t="shared" ref="D20:I20" si="3">SUM(D14:D18)</f>
        <v>50066510</v>
      </c>
      <c r="E20" s="163">
        <f t="shared" si="3"/>
        <v>60925100</v>
      </c>
      <c r="F20" s="163">
        <f t="shared" si="3"/>
        <v>60415210</v>
      </c>
      <c r="G20" s="144">
        <f t="shared" si="3"/>
        <v>64092210</v>
      </c>
      <c r="H20" s="46">
        <f t="shared" si="3"/>
        <v>67508210</v>
      </c>
      <c r="I20" s="46">
        <f t="shared" si="3"/>
        <v>71061210</v>
      </c>
      <c r="J20" s="46">
        <f t="shared" ref="J20" si="4">SUM(J14:J18)</f>
        <v>74756210</v>
      </c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42" customFormat="1" ht="12.75" customHeight="1" x14ac:dyDescent="0.2">
      <c r="A21" s="47" t="s">
        <v>12</v>
      </c>
      <c r="B21" s="48"/>
      <c r="C21" s="48"/>
      <c r="D21" s="22"/>
      <c r="E21" s="163"/>
      <c r="F21" s="163"/>
      <c r="G21" s="144"/>
      <c r="H21" s="46"/>
      <c r="I21" s="46"/>
      <c r="J21" s="46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42" customFormat="1" ht="12.75" customHeight="1" x14ac:dyDescent="0.2">
      <c r="A22" s="49" t="s">
        <v>13</v>
      </c>
      <c r="B22" s="39"/>
      <c r="C22" s="39"/>
      <c r="D22" s="50">
        <v>46623000</v>
      </c>
      <c r="E22" s="167">
        <v>43577000</v>
      </c>
      <c r="F22" s="167">
        <v>43577000</v>
      </c>
      <c r="G22" s="139">
        <v>44062000</v>
      </c>
      <c r="H22" s="51">
        <v>44496000</v>
      </c>
      <c r="I22" s="51">
        <v>44906000</v>
      </c>
      <c r="J22" s="51">
        <v>45255000</v>
      </c>
      <c r="K22" s="196"/>
      <c r="L22" s="5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42" customFormat="1" ht="12.75" customHeight="1" x14ac:dyDescent="0.2">
      <c r="A23" s="49" t="s">
        <v>14</v>
      </c>
      <c r="B23" s="39"/>
      <c r="C23" s="39"/>
      <c r="D23" s="50">
        <v>2139000</v>
      </c>
      <c r="E23" s="167">
        <v>2139000</v>
      </c>
      <c r="F23" s="167">
        <v>2139000</v>
      </c>
      <c r="G23" s="139">
        <v>1966000</v>
      </c>
      <c r="H23" s="51">
        <v>2066000</v>
      </c>
      <c r="I23" s="51">
        <v>2125000</v>
      </c>
      <c r="J23" s="51">
        <v>2174000</v>
      </c>
      <c r="K23" s="53"/>
      <c r="L23" s="5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42" customFormat="1" ht="12.75" customHeight="1" x14ac:dyDescent="0.2">
      <c r="A24" s="49" t="s">
        <v>15</v>
      </c>
      <c r="B24" s="39"/>
      <c r="C24" s="39"/>
      <c r="D24" s="50">
        <v>2251000</v>
      </c>
      <c r="E24" s="167">
        <v>2369000</v>
      </c>
      <c r="F24" s="167">
        <v>2369000</v>
      </c>
      <c r="G24" s="139">
        <v>2428000</v>
      </c>
      <c r="H24" s="51">
        <v>2458000</v>
      </c>
      <c r="I24" s="51">
        <v>2487000</v>
      </c>
      <c r="J24" s="51">
        <v>2511000</v>
      </c>
      <c r="L24" s="5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42" customFormat="1" ht="12.75" customHeight="1" x14ac:dyDescent="0.2">
      <c r="A25" s="47" t="s">
        <v>16</v>
      </c>
      <c r="B25" s="48"/>
      <c r="C25" s="48"/>
      <c r="D25" s="55">
        <f>4882846+454500+25000</f>
        <v>5362346</v>
      </c>
      <c r="E25" s="168">
        <v>5006432</v>
      </c>
      <c r="F25" s="168">
        <v>5006432</v>
      </c>
      <c r="G25" s="145">
        <f>E25</f>
        <v>5006432</v>
      </c>
      <c r="H25" s="56">
        <f>G25</f>
        <v>5006432</v>
      </c>
      <c r="I25" s="56">
        <f>H25</f>
        <v>5006432</v>
      </c>
      <c r="J25" s="56">
        <f>I25</f>
        <v>5006432</v>
      </c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42" customFormat="1" ht="12.75" customHeight="1" x14ac:dyDescent="0.2">
      <c r="A26" s="57" t="s">
        <v>17</v>
      </c>
      <c r="B26" s="58"/>
      <c r="C26" s="58"/>
      <c r="D26" s="59">
        <f>SUM(D17:D25)</f>
        <v>106441856</v>
      </c>
      <c r="E26" s="59">
        <f t="shared" ref="E26:J26" si="5">SUM(E20:E25)</f>
        <v>114016532</v>
      </c>
      <c r="F26" s="59">
        <f t="shared" si="5"/>
        <v>113506642</v>
      </c>
      <c r="G26" s="60">
        <f t="shared" si="5"/>
        <v>117554642</v>
      </c>
      <c r="H26" s="60">
        <f t="shared" si="5"/>
        <v>121534642</v>
      </c>
      <c r="I26" s="60">
        <f t="shared" si="5"/>
        <v>125585642</v>
      </c>
      <c r="J26" s="60">
        <f t="shared" si="5"/>
        <v>129702642</v>
      </c>
      <c r="K26" s="127"/>
      <c r="L26" s="127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42" customFormat="1" ht="12.75" customHeight="1" x14ac:dyDescent="0.2">
      <c r="A27" s="61" t="s">
        <v>18</v>
      </c>
      <c r="B27" s="62"/>
      <c r="C27" s="62"/>
      <c r="D27" s="75">
        <v>114220856</v>
      </c>
      <c r="E27" s="169">
        <v>112355442</v>
      </c>
      <c r="F27" s="169">
        <v>112355442</v>
      </c>
      <c r="G27" s="146">
        <f>F47</f>
        <v>114213342</v>
      </c>
      <c r="H27" s="63">
        <f>G47</f>
        <v>117862042</v>
      </c>
      <c r="I27" s="63">
        <f>H47</f>
        <v>121185905</v>
      </c>
      <c r="J27" s="63">
        <f>I47</f>
        <v>123319038</v>
      </c>
      <c r="K27" s="5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42" customFormat="1" ht="12.75" customHeight="1" thickBot="1" x14ac:dyDescent="0.25">
      <c r="A28" s="20" t="s">
        <v>101</v>
      </c>
      <c r="B28" s="21"/>
      <c r="C28" s="21"/>
      <c r="D28" s="64">
        <f t="shared" ref="D28:J28" si="6">D26-D27</f>
        <v>-7779000</v>
      </c>
      <c r="E28" s="170">
        <f t="shared" si="6"/>
        <v>1661090</v>
      </c>
      <c r="F28" s="170">
        <f t="shared" si="6"/>
        <v>1151200</v>
      </c>
      <c r="G28" s="147">
        <f t="shared" si="6"/>
        <v>3341300</v>
      </c>
      <c r="H28" s="65">
        <f t="shared" si="6"/>
        <v>3672600</v>
      </c>
      <c r="I28" s="65">
        <f t="shared" si="6"/>
        <v>4399737</v>
      </c>
      <c r="J28" s="65">
        <f t="shared" si="6"/>
        <v>6383604</v>
      </c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42" customFormat="1" ht="12.75" customHeight="1" thickTop="1" x14ac:dyDescent="0.2">
      <c r="A29" s="20"/>
      <c r="B29" s="21"/>
      <c r="C29" s="21"/>
      <c r="D29" s="66"/>
      <c r="E29" s="171"/>
      <c r="F29" s="171"/>
      <c r="G29" s="148"/>
      <c r="H29" s="67"/>
      <c r="I29" s="67"/>
      <c r="J29" s="67"/>
      <c r="K29" s="68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69" customFormat="1" ht="12.75" customHeight="1" x14ac:dyDescent="0.2">
      <c r="A30" s="20" t="s">
        <v>19</v>
      </c>
      <c r="B30" s="21"/>
      <c r="C30" s="21"/>
      <c r="D30" s="50"/>
      <c r="E30" s="167"/>
      <c r="F30" s="167"/>
      <c r="G30" s="139"/>
      <c r="H30" s="51"/>
      <c r="I30" s="51"/>
      <c r="J30" s="51"/>
    </row>
    <row r="31" spans="1:250" s="42" customFormat="1" ht="12.75" customHeight="1" x14ac:dyDescent="0.2">
      <c r="A31" s="47" t="s">
        <v>20</v>
      </c>
      <c r="B31" s="48"/>
      <c r="C31" s="48"/>
      <c r="D31" s="50"/>
      <c r="E31" s="167">
        <v>148000</v>
      </c>
      <c r="F31" s="167">
        <v>148000</v>
      </c>
      <c r="G31" s="139">
        <f>G24-E24</f>
        <v>59000</v>
      </c>
      <c r="H31" s="51">
        <f>H24-G24</f>
        <v>30000</v>
      </c>
      <c r="I31" s="51">
        <f>I24-H24</f>
        <v>29000</v>
      </c>
      <c r="J31" s="51">
        <f>J24-I24</f>
        <v>24000</v>
      </c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69" customFormat="1" ht="12.75" customHeight="1" x14ac:dyDescent="0.2">
      <c r="A32" s="70" t="s">
        <v>49</v>
      </c>
      <c r="B32" s="48"/>
      <c r="C32" s="48"/>
      <c r="D32" s="50"/>
      <c r="E32" s="167">
        <v>0</v>
      </c>
      <c r="F32" s="167">
        <v>-557100</v>
      </c>
      <c r="G32" s="139">
        <f>ROUND((G22-E22)/3,-3)</f>
        <v>162000</v>
      </c>
      <c r="H32" s="51">
        <f>ROUND((H22-G22)/3,-3)</f>
        <v>145000</v>
      </c>
      <c r="I32" s="51">
        <f>ROUND((I22-H22)/3,-3)</f>
        <v>137000</v>
      </c>
      <c r="J32" s="51">
        <f>ROUND((J22-I22)/3,-3)</f>
        <v>116000</v>
      </c>
    </row>
    <row r="33" spans="1:250" s="69" customFormat="1" ht="12.75" customHeight="1" x14ac:dyDescent="0.2">
      <c r="A33" s="47" t="s">
        <v>21</v>
      </c>
      <c r="B33" s="48"/>
      <c r="C33" s="48"/>
      <c r="D33" s="50"/>
      <c r="E33" s="167">
        <v>1002000</v>
      </c>
      <c r="F33" s="167">
        <v>1002000</v>
      </c>
      <c r="G33" s="139">
        <f>540000/12*7</f>
        <v>315000</v>
      </c>
      <c r="H33" s="51">
        <v>550000</v>
      </c>
      <c r="I33" s="51">
        <v>560000</v>
      </c>
      <c r="J33" s="51">
        <v>560000</v>
      </c>
    </row>
    <row r="34" spans="1:250" s="69" customFormat="1" ht="12.75" customHeight="1" x14ac:dyDescent="0.2">
      <c r="A34" s="70" t="s">
        <v>22</v>
      </c>
      <c r="B34" s="48"/>
      <c r="C34" s="48"/>
      <c r="D34" s="50"/>
      <c r="E34" s="167">
        <v>1160000</v>
      </c>
      <c r="F34" s="167">
        <v>1160000</v>
      </c>
      <c r="G34" s="139">
        <v>350000</v>
      </c>
      <c r="H34" s="51">
        <v>630000</v>
      </c>
      <c r="I34" s="51">
        <v>665000</v>
      </c>
      <c r="J34" s="51">
        <v>700000</v>
      </c>
    </row>
    <row r="35" spans="1:250" s="69" customFormat="1" ht="12.75" customHeight="1" x14ac:dyDescent="0.2">
      <c r="A35" s="70" t="s">
        <v>50</v>
      </c>
      <c r="B35" s="48"/>
      <c r="C35" s="48"/>
      <c r="D35" s="50"/>
      <c r="E35" s="167">
        <v>0</v>
      </c>
      <c r="F35" s="167">
        <v>0</v>
      </c>
      <c r="G35" s="139">
        <v>750000</v>
      </c>
      <c r="H35" s="51">
        <v>750000</v>
      </c>
      <c r="I35" s="51">
        <v>750000</v>
      </c>
      <c r="J35" s="51">
        <v>750000</v>
      </c>
    </row>
    <row r="36" spans="1:250" s="69" customFormat="1" ht="12.75" customHeight="1" x14ac:dyDescent="0.2">
      <c r="A36" s="70" t="s">
        <v>51</v>
      </c>
      <c r="B36" s="21"/>
      <c r="C36" s="21"/>
      <c r="D36" s="50"/>
      <c r="E36" s="167">
        <v>0</v>
      </c>
      <c r="F36" s="167">
        <v>0</v>
      </c>
      <c r="G36" s="139">
        <v>100000</v>
      </c>
      <c r="H36" s="51">
        <v>100000</v>
      </c>
      <c r="I36" s="51">
        <v>100000</v>
      </c>
      <c r="J36" s="51">
        <v>100000</v>
      </c>
    </row>
    <row r="37" spans="1:250" s="69" customFormat="1" ht="12.75" customHeight="1" x14ac:dyDescent="0.2">
      <c r="A37" s="70" t="str">
        <f>A16</f>
        <v>20% set-aside for dedicated activities</v>
      </c>
      <c r="B37" s="21"/>
      <c r="C37" s="21"/>
      <c r="D37" s="50"/>
      <c r="E37" s="167"/>
      <c r="F37" s="167"/>
      <c r="G37" s="139">
        <f>G16</f>
        <v>739000</v>
      </c>
      <c r="H37" s="51">
        <f>H16</f>
        <v>621000</v>
      </c>
      <c r="I37" s="51">
        <f>I16</f>
        <v>646000</v>
      </c>
      <c r="J37" s="51">
        <f>J16</f>
        <v>672000</v>
      </c>
    </row>
    <row r="38" spans="1:250" s="69" customFormat="1" ht="12.75" customHeight="1" x14ac:dyDescent="0.2">
      <c r="A38" s="70" t="s">
        <v>67</v>
      </c>
      <c r="B38" s="21"/>
      <c r="C38" s="21"/>
      <c r="D38" s="50"/>
      <c r="E38" s="167"/>
      <c r="F38" s="167"/>
      <c r="G38" s="139"/>
      <c r="H38" s="182">
        <v>-300000</v>
      </c>
      <c r="I38" s="182">
        <v>-1200000</v>
      </c>
      <c r="J38" s="182">
        <v>-900000</v>
      </c>
    </row>
    <row r="39" spans="1:250" s="69" customFormat="1" ht="12.75" customHeight="1" x14ac:dyDescent="0.2">
      <c r="A39" s="70" t="s">
        <v>68</v>
      </c>
      <c r="B39" s="21"/>
      <c r="C39" s="21"/>
      <c r="D39" s="50"/>
      <c r="E39" s="167"/>
      <c r="F39" s="167"/>
      <c r="G39" s="139"/>
      <c r="H39" s="182"/>
      <c r="I39" s="182">
        <v>-497000</v>
      </c>
      <c r="J39" s="182"/>
    </row>
    <row r="40" spans="1:250" s="92" customFormat="1" ht="12.75" hidden="1" customHeight="1" x14ac:dyDescent="0.2">
      <c r="A40" s="117" t="s">
        <v>54</v>
      </c>
      <c r="B40" s="96"/>
      <c r="C40" s="96"/>
      <c r="D40" s="95"/>
      <c r="E40" s="105">
        <v>67000</v>
      </c>
      <c r="F40" s="105">
        <v>67000</v>
      </c>
      <c r="G40" s="128"/>
      <c r="H40" s="90"/>
      <c r="I40" s="90"/>
      <c r="J40" s="90"/>
      <c r="K40" s="54"/>
      <c r="L40" s="91"/>
      <c r="M40" s="54"/>
      <c r="N40" s="91"/>
      <c r="O40" s="54"/>
      <c r="P40" s="54"/>
    </row>
    <row r="41" spans="1:250" s="92" customFormat="1" ht="12.75" hidden="1" customHeight="1" x14ac:dyDescent="0.2">
      <c r="A41" s="117" t="s">
        <v>26</v>
      </c>
      <c r="B41" s="96"/>
      <c r="C41" s="96"/>
      <c r="D41" s="95"/>
      <c r="E41" s="105">
        <v>38000</v>
      </c>
      <c r="F41" s="105">
        <v>38000</v>
      </c>
      <c r="G41" s="232"/>
      <c r="H41" s="90"/>
      <c r="I41" s="90"/>
      <c r="J41" s="90"/>
      <c r="K41" s="54"/>
      <c r="L41" s="91"/>
      <c r="M41" s="54"/>
      <c r="N41" s="91"/>
      <c r="O41" s="54"/>
      <c r="P41" s="54"/>
    </row>
    <row r="42" spans="1:250" s="69" customFormat="1" ht="12.75" customHeight="1" x14ac:dyDescent="0.2">
      <c r="A42" s="178" t="s">
        <v>107</v>
      </c>
      <c r="B42" s="179"/>
      <c r="C42" s="179"/>
      <c r="D42" s="180"/>
      <c r="E42" s="181"/>
      <c r="F42" s="181"/>
      <c r="G42" s="157">
        <f>405700</f>
        <v>405700</v>
      </c>
      <c r="H42" s="156">
        <v>297863</v>
      </c>
      <c r="I42" s="156">
        <v>443133</v>
      </c>
      <c r="J42" s="156">
        <v>253357</v>
      </c>
    </row>
    <row r="43" spans="1:250" s="69" customFormat="1" ht="12.75" customHeight="1" x14ac:dyDescent="0.2">
      <c r="A43" s="178" t="s">
        <v>90</v>
      </c>
      <c r="B43" s="179"/>
      <c r="C43" s="179"/>
      <c r="D43" s="180"/>
      <c r="E43" s="181"/>
      <c r="F43" s="181"/>
      <c r="G43" s="157">
        <f>768000</f>
        <v>768000</v>
      </c>
      <c r="H43" s="156"/>
      <c r="I43" s="156"/>
      <c r="J43" s="156"/>
    </row>
    <row r="44" spans="1:250" s="69" customFormat="1" ht="12.75" customHeight="1" x14ac:dyDescent="0.2">
      <c r="A44" s="178" t="s">
        <v>109</v>
      </c>
      <c r="B44" s="179"/>
      <c r="C44" s="179"/>
      <c r="D44" s="180"/>
      <c r="E44" s="181"/>
      <c r="F44" s="181"/>
      <c r="G44" s="157"/>
      <c r="H44" s="157">
        <v>500000</v>
      </c>
      <c r="I44" s="156">
        <v>500000</v>
      </c>
      <c r="J44" s="156">
        <v>500000</v>
      </c>
    </row>
    <row r="45" spans="1:250" s="69" customFormat="1" ht="12.75" customHeight="1" x14ac:dyDescent="0.2">
      <c r="A45" s="235" t="s">
        <v>86</v>
      </c>
      <c r="B45" s="236"/>
      <c r="C45" s="236"/>
      <c r="D45" s="237"/>
      <c r="E45" s="238"/>
      <c r="F45" s="238"/>
      <c r="G45" s="239"/>
      <c r="H45" s="240"/>
      <c r="I45" s="240"/>
      <c r="J45" s="240"/>
    </row>
    <row r="46" spans="1:250" s="42" customFormat="1" ht="12.75" customHeight="1" x14ac:dyDescent="0.2">
      <c r="A46" s="233" t="s">
        <v>23</v>
      </c>
      <c r="B46" s="21"/>
      <c r="C46" s="21"/>
      <c r="D46" s="71">
        <f>SUM(D32:D41)</f>
        <v>0</v>
      </c>
      <c r="E46" s="172">
        <f>SUM(E31:E41)</f>
        <v>2415000</v>
      </c>
      <c r="F46" s="172">
        <f>SUM(F31:F45)</f>
        <v>1857900</v>
      </c>
      <c r="G46" s="149">
        <f>SUM(G31:G45)</f>
        <v>3648700</v>
      </c>
      <c r="H46" s="72">
        <f>SUM(H31:H45)</f>
        <v>3323863</v>
      </c>
      <c r="I46" s="72">
        <f>SUM(I31:I45)</f>
        <v>2133133</v>
      </c>
      <c r="J46" s="72">
        <f>SUM(J31:J45)</f>
        <v>2775357</v>
      </c>
      <c r="IG46" s="43"/>
      <c r="IH46" s="43"/>
      <c r="II46" s="43"/>
      <c r="IJ46" s="43"/>
      <c r="IK46" s="43"/>
      <c r="IL46" s="43"/>
      <c r="IM46" s="43"/>
      <c r="IN46" s="43"/>
      <c r="IO46" s="43"/>
      <c r="IP46" s="43"/>
    </row>
    <row r="47" spans="1:250" s="69" customFormat="1" ht="12.75" customHeight="1" x14ac:dyDescent="0.2">
      <c r="A47" s="73" t="s">
        <v>45</v>
      </c>
      <c r="B47" s="74"/>
      <c r="C47" s="74"/>
      <c r="D47" s="75">
        <v>114220856</v>
      </c>
      <c r="E47" s="173">
        <f t="shared" ref="E47:J47" si="7">E27+E46</f>
        <v>114770442</v>
      </c>
      <c r="F47" s="173">
        <f t="shared" si="7"/>
        <v>114213342</v>
      </c>
      <c r="G47" s="150">
        <f t="shared" si="7"/>
        <v>117862042</v>
      </c>
      <c r="H47" s="76">
        <f t="shared" si="7"/>
        <v>121185905</v>
      </c>
      <c r="I47" s="76">
        <f t="shared" si="7"/>
        <v>123319038</v>
      </c>
      <c r="J47" s="76">
        <f t="shared" si="7"/>
        <v>126094395</v>
      </c>
      <c r="K47" s="42"/>
      <c r="L47" s="42"/>
      <c r="M47" s="42"/>
      <c r="N47" s="42"/>
      <c r="O47" s="42"/>
      <c r="P47" s="42"/>
    </row>
    <row r="48" spans="1:250" s="42" customFormat="1" ht="12.75" customHeight="1" x14ac:dyDescent="0.2">
      <c r="A48" s="77"/>
      <c r="B48" s="78"/>
      <c r="C48" s="78"/>
      <c r="D48" s="79"/>
      <c r="E48" s="174"/>
      <c r="F48" s="174"/>
      <c r="G48" s="151"/>
      <c r="H48" s="80"/>
      <c r="I48" s="80"/>
      <c r="J48" s="80"/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69" customFormat="1" ht="12.75" customHeight="1" thickBot="1" x14ac:dyDescent="0.25">
      <c r="A49" s="81" t="s">
        <v>24</v>
      </c>
      <c r="B49" s="82"/>
      <c r="C49" s="82"/>
      <c r="D49" s="83">
        <f t="shared" ref="D49:J49" si="8">D26-D47</f>
        <v>-7779000</v>
      </c>
      <c r="E49" s="175">
        <f t="shared" si="8"/>
        <v>-753910</v>
      </c>
      <c r="F49" s="175">
        <f t="shared" si="8"/>
        <v>-706700</v>
      </c>
      <c r="G49" s="84">
        <f t="shared" si="8"/>
        <v>-307400</v>
      </c>
      <c r="H49" s="84">
        <f t="shared" si="8"/>
        <v>348737</v>
      </c>
      <c r="I49" s="84">
        <f t="shared" si="8"/>
        <v>2266604</v>
      </c>
      <c r="J49" s="84">
        <f t="shared" si="8"/>
        <v>3608247</v>
      </c>
      <c r="K49" s="42"/>
      <c r="L49" s="85"/>
      <c r="M49" s="42"/>
      <c r="N49" s="42"/>
      <c r="O49" s="42"/>
      <c r="P49" s="42"/>
    </row>
    <row r="50" spans="1:250" s="92" customFormat="1" ht="12.75" customHeight="1" thickTop="1" x14ac:dyDescent="0.2">
      <c r="A50" s="86"/>
      <c r="B50" s="87"/>
      <c r="C50" s="88"/>
      <c r="D50" s="89"/>
      <c r="E50" s="105"/>
      <c r="F50" s="214"/>
      <c r="G50" s="129"/>
      <c r="H50" s="90"/>
      <c r="I50" s="90"/>
      <c r="J50" s="90"/>
      <c r="K50" s="91"/>
      <c r="L50" s="54"/>
      <c r="M50" s="91"/>
      <c r="N50" s="54"/>
      <c r="O50" s="54"/>
    </row>
    <row r="51" spans="1:250" s="69" customFormat="1" ht="12.75" customHeight="1" x14ac:dyDescent="0.2">
      <c r="A51" s="93" t="s">
        <v>59</v>
      </c>
      <c r="B51" s="87"/>
      <c r="C51" s="87"/>
      <c r="D51" s="95"/>
      <c r="E51" s="105"/>
      <c r="F51" s="214"/>
      <c r="G51" s="129"/>
      <c r="H51" s="90"/>
      <c r="I51" s="90"/>
      <c r="J51" s="90"/>
      <c r="K51" s="42"/>
      <c r="L51" s="68"/>
      <c r="M51" s="42"/>
      <c r="N51" s="68"/>
      <c r="O51" s="42"/>
      <c r="P51" s="42"/>
    </row>
    <row r="52" spans="1:250" s="92" customFormat="1" ht="12.75" customHeight="1" x14ac:dyDescent="0.2">
      <c r="A52" s="241" t="s">
        <v>25</v>
      </c>
      <c r="B52" s="242"/>
      <c r="C52" s="242"/>
      <c r="D52" s="243"/>
      <c r="E52" s="244">
        <v>300000</v>
      </c>
      <c r="F52" s="244">
        <v>300000</v>
      </c>
      <c r="G52" s="245"/>
      <c r="H52" s="245"/>
      <c r="I52" s="245"/>
      <c r="J52" s="245"/>
      <c r="K52" s="54"/>
      <c r="L52" s="91"/>
      <c r="M52" s="54"/>
      <c r="N52" s="91"/>
      <c r="O52" s="54"/>
      <c r="P52" s="54"/>
    </row>
    <row r="53" spans="1:250" s="92" customFormat="1" ht="12.75" hidden="1" customHeight="1" x14ac:dyDescent="0.2">
      <c r="A53" s="241"/>
      <c r="B53" s="242"/>
      <c r="C53" s="242"/>
      <c r="D53" s="243"/>
      <c r="E53" s="244"/>
      <c r="F53" s="244"/>
      <c r="G53" s="245"/>
      <c r="H53" s="245"/>
      <c r="I53" s="245"/>
      <c r="J53" s="245"/>
      <c r="K53" s="54"/>
      <c r="L53" s="91"/>
      <c r="M53" s="54"/>
      <c r="N53" s="91"/>
      <c r="O53" s="54"/>
      <c r="P53" s="54"/>
    </row>
    <row r="54" spans="1:250" s="92" customFormat="1" ht="12.75" customHeight="1" x14ac:dyDescent="0.2">
      <c r="A54" s="241" t="s">
        <v>28</v>
      </c>
      <c r="B54" s="242"/>
      <c r="C54" s="242"/>
      <c r="D54" s="243"/>
      <c r="E54" s="244">
        <v>300000</v>
      </c>
      <c r="F54" s="244">
        <v>300000</v>
      </c>
      <c r="G54" s="245"/>
      <c r="H54" s="245"/>
      <c r="I54" s="245"/>
      <c r="J54" s="245"/>
      <c r="K54" s="54"/>
      <c r="L54" s="91"/>
      <c r="M54" s="54"/>
      <c r="N54" s="91"/>
      <c r="O54" s="54"/>
      <c r="P54" s="54"/>
    </row>
    <row r="55" spans="1:250" s="92" customFormat="1" ht="12.75" customHeight="1" x14ac:dyDescent="0.2">
      <c r="A55" s="241" t="s">
        <v>42</v>
      </c>
      <c r="B55" s="242"/>
      <c r="C55" s="242"/>
      <c r="D55" s="243"/>
      <c r="E55" s="244">
        <v>115000</v>
      </c>
      <c r="F55" s="244">
        <v>115000</v>
      </c>
      <c r="G55" s="245"/>
      <c r="H55" s="245"/>
      <c r="I55" s="245"/>
      <c r="J55" s="245"/>
      <c r="K55" s="54"/>
      <c r="L55" s="91"/>
      <c r="M55" s="54"/>
      <c r="N55" s="91"/>
      <c r="O55" s="54"/>
      <c r="P55" s="54"/>
    </row>
    <row r="56" spans="1:250" s="92" customFormat="1" ht="12.75" customHeight="1" x14ac:dyDescent="0.2">
      <c r="A56" s="178" t="s">
        <v>108</v>
      </c>
      <c r="B56" s="204"/>
      <c r="C56" s="204"/>
      <c r="D56" s="205"/>
      <c r="E56" s="206">
        <v>500000</v>
      </c>
      <c r="F56" s="206">
        <v>500000</v>
      </c>
      <c r="G56" s="207">
        <v>228310</v>
      </c>
      <c r="H56" s="207">
        <v>271660</v>
      </c>
      <c r="I56" s="207">
        <f>260100</f>
        <v>260100</v>
      </c>
      <c r="J56" s="207">
        <v>216750</v>
      </c>
      <c r="K56" s="54"/>
      <c r="L56" s="91"/>
      <c r="M56" s="54"/>
      <c r="N56" s="91"/>
      <c r="O56" s="54"/>
      <c r="P56" s="54"/>
    </row>
    <row r="57" spans="1:250" s="92" customFormat="1" ht="12.75" customHeight="1" x14ac:dyDescent="0.2">
      <c r="A57" s="241" t="s">
        <v>29</v>
      </c>
      <c r="B57" s="242"/>
      <c r="C57" s="242"/>
      <c r="D57" s="243"/>
      <c r="E57" s="244">
        <v>406000</v>
      </c>
      <c r="F57" s="244">
        <v>406000</v>
      </c>
      <c r="G57" s="245"/>
      <c r="H57" s="245"/>
      <c r="I57" s="245"/>
      <c r="J57" s="245"/>
      <c r="K57" s="54"/>
      <c r="L57" s="91"/>
      <c r="M57" s="54"/>
      <c r="N57" s="91"/>
      <c r="O57" s="54"/>
      <c r="P57" s="54"/>
    </row>
    <row r="58" spans="1:250" s="92" customFormat="1" ht="12.75" hidden="1" customHeight="1" x14ac:dyDescent="0.2">
      <c r="A58" s="86"/>
      <c r="B58" s="96"/>
      <c r="C58" s="96"/>
      <c r="D58" s="95"/>
      <c r="E58" s="105"/>
      <c r="F58" s="105"/>
      <c r="G58" s="129"/>
      <c r="H58" s="90"/>
      <c r="I58" s="90"/>
      <c r="J58" s="90"/>
      <c r="K58" s="54"/>
      <c r="L58" s="91"/>
      <c r="M58" s="54"/>
      <c r="N58" s="91"/>
      <c r="O58" s="54"/>
      <c r="P58" s="54"/>
    </row>
    <row r="59" spans="1:250" s="69" customFormat="1" ht="12.75" customHeight="1" x14ac:dyDescent="0.2">
      <c r="A59" s="93" t="s">
        <v>60</v>
      </c>
      <c r="B59" s="87"/>
      <c r="C59" s="87"/>
      <c r="D59" s="97"/>
      <c r="E59" s="176">
        <f t="shared" ref="E59:J59" si="9">SUM(E52:E58)</f>
        <v>1621000</v>
      </c>
      <c r="F59" s="176">
        <f t="shared" si="9"/>
        <v>1621000</v>
      </c>
      <c r="G59" s="152">
        <f t="shared" si="9"/>
        <v>228310</v>
      </c>
      <c r="H59" s="98">
        <f t="shared" si="9"/>
        <v>271660</v>
      </c>
      <c r="I59" s="98">
        <f t="shared" si="9"/>
        <v>260100</v>
      </c>
      <c r="J59" s="98">
        <f t="shared" si="9"/>
        <v>216750</v>
      </c>
      <c r="K59" s="99"/>
      <c r="L59" s="100"/>
      <c r="M59" s="99"/>
      <c r="N59" s="100"/>
      <c r="O59" s="99"/>
      <c r="P59" s="99"/>
    </row>
    <row r="60" spans="1:250" s="69" customFormat="1" ht="12.75" customHeight="1" x14ac:dyDescent="0.2">
      <c r="A60" s="93"/>
      <c r="B60" s="87"/>
      <c r="C60" s="87"/>
      <c r="D60" s="95"/>
      <c r="E60" s="105"/>
      <c r="F60" s="105"/>
      <c r="G60" s="129"/>
      <c r="H60" s="90"/>
      <c r="I60" s="90"/>
      <c r="J60" s="90"/>
      <c r="K60" s="42"/>
      <c r="L60" s="68"/>
      <c r="M60" s="42"/>
      <c r="N60" s="68"/>
      <c r="O60" s="42"/>
      <c r="P60" s="42"/>
    </row>
    <row r="61" spans="1:250" s="42" customFormat="1" ht="12.75" customHeight="1" thickBot="1" x14ac:dyDescent="0.25">
      <c r="A61" s="101" t="s">
        <v>30</v>
      </c>
      <c r="B61" s="102"/>
      <c r="C61" s="102"/>
      <c r="D61" s="103">
        <f t="shared" ref="D61:J61" si="10">D49-D59</f>
        <v>-7779000</v>
      </c>
      <c r="E61" s="103">
        <f t="shared" si="10"/>
        <v>-2374910</v>
      </c>
      <c r="F61" s="103">
        <f t="shared" si="10"/>
        <v>-2327700</v>
      </c>
      <c r="G61" s="153">
        <f t="shared" si="10"/>
        <v>-535710</v>
      </c>
      <c r="H61" s="104">
        <f t="shared" si="10"/>
        <v>77077</v>
      </c>
      <c r="I61" s="104">
        <f t="shared" si="10"/>
        <v>2006504</v>
      </c>
      <c r="J61" s="104">
        <f t="shared" si="10"/>
        <v>3391497</v>
      </c>
      <c r="IG61" s="43"/>
      <c r="IH61" s="43"/>
      <c r="II61" s="43"/>
      <c r="IJ61" s="43"/>
      <c r="IK61" s="43"/>
      <c r="IL61" s="43"/>
      <c r="IM61" s="43"/>
      <c r="IN61" s="43"/>
      <c r="IO61" s="43"/>
      <c r="IP61" s="43"/>
    </row>
    <row r="62" spans="1:250" s="92" customFormat="1" ht="12.75" customHeight="1" thickTop="1" x14ac:dyDescent="0.2">
      <c r="A62" s="86"/>
      <c r="B62" s="87"/>
      <c r="C62" s="94"/>
      <c r="D62" s="105"/>
      <c r="E62" s="105"/>
      <c r="F62" s="105"/>
      <c r="G62" s="129"/>
      <c r="H62" s="90"/>
      <c r="I62" s="90"/>
      <c r="J62" s="90"/>
      <c r="K62" s="91"/>
      <c r="L62" s="54"/>
      <c r="M62" s="91"/>
      <c r="N62" s="54"/>
      <c r="O62" s="54"/>
    </row>
    <row r="63" spans="1:250" s="92" customFormat="1" ht="12.75" customHeight="1" x14ac:dyDescent="0.2">
      <c r="A63" s="86" t="s">
        <v>52</v>
      </c>
      <c r="B63" s="87"/>
      <c r="C63" s="94"/>
      <c r="D63" s="105"/>
      <c r="E63" s="105">
        <v>10331928</v>
      </c>
      <c r="F63" s="105">
        <v>9145975</v>
      </c>
      <c r="G63" s="129">
        <f>F64+300000</f>
        <v>7118275</v>
      </c>
      <c r="H63" s="90">
        <f>G64</f>
        <v>6582565</v>
      </c>
      <c r="I63" s="90">
        <f>H64</f>
        <v>6659642</v>
      </c>
      <c r="J63" s="90">
        <f>I64</f>
        <v>8666146</v>
      </c>
      <c r="K63" s="91"/>
      <c r="L63" s="54"/>
      <c r="M63" s="91"/>
      <c r="N63" s="54"/>
      <c r="O63" s="54"/>
    </row>
    <row r="64" spans="1:250" s="92" customFormat="1" ht="12.75" customHeight="1" thickBot="1" x14ac:dyDescent="0.25">
      <c r="A64" s="106" t="s">
        <v>95</v>
      </c>
      <c r="B64" s="107"/>
      <c r="C64" s="108"/>
      <c r="D64" s="109"/>
      <c r="E64" s="109">
        <f t="shared" ref="E64:J64" si="11">E61+E63</f>
        <v>7957018</v>
      </c>
      <c r="F64" s="109">
        <f t="shared" si="11"/>
        <v>6818275</v>
      </c>
      <c r="G64" s="110">
        <f t="shared" si="11"/>
        <v>6582565</v>
      </c>
      <c r="H64" s="110">
        <f t="shared" si="11"/>
        <v>6659642</v>
      </c>
      <c r="I64" s="110">
        <f t="shared" si="11"/>
        <v>8666146</v>
      </c>
      <c r="J64" s="110">
        <f t="shared" si="11"/>
        <v>12057643</v>
      </c>
      <c r="K64" s="91"/>
      <c r="L64" s="54"/>
      <c r="M64" s="91"/>
      <c r="N64" s="54"/>
      <c r="O64" s="54"/>
    </row>
    <row r="65" spans="1:250" s="69" customFormat="1" ht="15.75" thickTop="1" x14ac:dyDescent="0.2">
      <c r="A65" s="111" t="s">
        <v>96</v>
      </c>
      <c r="B65" s="111"/>
      <c r="C65" s="111"/>
      <c r="D65" s="112"/>
      <c r="E65" s="215">
        <f t="shared" ref="E65:J65" si="12">E64/E47</f>
        <v>6.9329854109998118E-2</v>
      </c>
      <c r="F65" s="215">
        <f t="shared" si="12"/>
        <v>5.9697710272763056E-2</v>
      </c>
      <c r="G65" s="216">
        <f t="shared" si="12"/>
        <v>5.5849745077384626E-2</v>
      </c>
      <c r="H65" s="216">
        <f t="shared" si="12"/>
        <v>5.4953932142521027E-2</v>
      </c>
      <c r="I65" s="216">
        <f t="shared" si="12"/>
        <v>7.0274193997523729E-2</v>
      </c>
      <c r="J65" s="216">
        <f t="shared" si="12"/>
        <v>9.5623941095875034E-2</v>
      </c>
      <c r="K65" s="42"/>
      <c r="L65" s="85"/>
      <c r="M65" s="42"/>
      <c r="N65" s="42"/>
      <c r="O65" s="42"/>
      <c r="P65" s="42"/>
    </row>
    <row r="66" spans="1:250" s="69" customFormat="1" ht="15" x14ac:dyDescent="0.2">
      <c r="A66" s="21" t="s">
        <v>97</v>
      </c>
      <c r="B66" s="21"/>
      <c r="C66" s="21"/>
      <c r="D66" s="197"/>
      <c r="E66" s="217">
        <f t="shared" ref="E66:J66" si="13">E47*0.05</f>
        <v>5738522.1000000006</v>
      </c>
      <c r="F66" s="217">
        <f t="shared" si="13"/>
        <v>5710667.1000000006</v>
      </c>
      <c r="G66" s="218">
        <f t="shared" si="13"/>
        <v>5893102.1000000006</v>
      </c>
      <c r="H66" s="218">
        <f t="shared" si="13"/>
        <v>6059295.25</v>
      </c>
      <c r="I66" s="218">
        <f t="shared" si="13"/>
        <v>6165951.9000000004</v>
      </c>
      <c r="J66" s="218">
        <f t="shared" si="13"/>
        <v>6304719.75</v>
      </c>
      <c r="K66" s="42"/>
      <c r="L66" s="85"/>
      <c r="M66" s="42"/>
      <c r="N66" s="42"/>
      <c r="O66" s="42"/>
      <c r="P66" s="42"/>
    </row>
    <row r="67" spans="1:250" s="69" customFormat="1" ht="15" x14ac:dyDescent="0.2">
      <c r="A67" s="199" t="s">
        <v>98</v>
      </c>
      <c r="B67" s="199"/>
      <c r="C67" s="199"/>
      <c r="D67" s="200"/>
      <c r="E67" s="201">
        <f>E64-E66</f>
        <v>2218495.8999999994</v>
      </c>
      <c r="F67" s="201">
        <f>F64-F66</f>
        <v>1107607.8999999994</v>
      </c>
      <c r="G67" s="201">
        <f>G64-G66</f>
        <v>689462.89999999944</v>
      </c>
      <c r="H67" s="201">
        <f t="shared" ref="H67:J67" si="14">H64-H66</f>
        <v>600346.75</v>
      </c>
      <c r="I67" s="201">
        <f t="shared" si="14"/>
        <v>2500194.0999999996</v>
      </c>
      <c r="J67" s="201">
        <f t="shared" si="14"/>
        <v>5752923.25</v>
      </c>
      <c r="K67" s="42"/>
      <c r="L67" s="85"/>
      <c r="M67" s="42"/>
      <c r="N67" s="42"/>
      <c r="O67" s="42"/>
      <c r="P67" s="42"/>
    </row>
    <row r="68" spans="1:250" s="42" customFormat="1" ht="14.25" hidden="1" customHeight="1" x14ac:dyDescent="0.2">
      <c r="A68" s="123" t="s">
        <v>43</v>
      </c>
      <c r="B68" s="123"/>
      <c r="C68" s="123"/>
      <c r="D68" s="123"/>
      <c r="E68" s="123"/>
      <c r="F68" s="123"/>
      <c r="G68" s="123"/>
      <c r="H68" s="123"/>
      <c r="I68" s="123"/>
      <c r="J68" s="123"/>
      <c r="IG68" s="43"/>
      <c r="IH68" s="43"/>
      <c r="II68" s="43"/>
      <c r="IJ68" s="43"/>
      <c r="IK68" s="43"/>
      <c r="IL68" s="43"/>
      <c r="IM68" s="43"/>
      <c r="IN68" s="43"/>
      <c r="IO68" s="43"/>
      <c r="IP68" s="43"/>
    </row>
    <row r="69" spans="1:250" s="113" customFormat="1" ht="15" hidden="1" x14ac:dyDescent="0.2">
      <c r="A69" s="122" t="s">
        <v>53</v>
      </c>
      <c r="B69" s="122"/>
      <c r="C69" s="122"/>
      <c r="D69" s="122"/>
      <c r="E69" s="122"/>
      <c r="F69" s="122"/>
      <c r="G69" s="122"/>
      <c r="H69" s="12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3"/>
      <c r="IH69" s="43"/>
      <c r="II69" s="43"/>
      <c r="IJ69" s="43"/>
      <c r="IK69" s="43"/>
      <c r="IL69" s="43"/>
      <c r="IM69" s="43"/>
      <c r="IN69" s="43"/>
      <c r="IO69" s="43"/>
      <c r="IP69" s="43"/>
    </row>
    <row r="70" spans="1:250" s="42" customFormat="1" ht="14.25" hidden="1" customHeight="1" x14ac:dyDescent="0.2">
      <c r="A70" s="123" t="s">
        <v>61</v>
      </c>
      <c r="B70" s="123"/>
      <c r="C70" s="123"/>
      <c r="D70" s="123"/>
      <c r="E70" s="123"/>
      <c r="F70" s="123"/>
      <c r="G70" s="123"/>
      <c r="H70" s="123"/>
      <c r="I70" s="123"/>
      <c r="J70" s="123"/>
      <c r="IG70" s="43"/>
      <c r="IH70" s="43"/>
      <c r="II70" s="43"/>
      <c r="IJ70" s="43"/>
      <c r="IK70" s="43"/>
      <c r="IL70" s="43"/>
      <c r="IM70" s="43"/>
      <c r="IN70" s="43"/>
      <c r="IO70" s="43"/>
      <c r="IP70" s="43"/>
    </row>
    <row r="71" spans="1:250" s="113" customFormat="1" ht="14.25" hidden="1" customHeight="1" x14ac:dyDescent="0.2">
      <c r="A71" s="122" t="s">
        <v>55</v>
      </c>
      <c r="B71" s="122"/>
      <c r="C71" s="122"/>
      <c r="D71" s="122"/>
      <c r="E71" s="122"/>
      <c r="F71" s="122"/>
      <c r="G71" s="122"/>
      <c r="H71" s="122"/>
      <c r="I71" s="130"/>
      <c r="J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</row>
    <row r="72" spans="1:250" s="43" customFormat="1" ht="14.25" hidden="1" customHeight="1" x14ac:dyDescent="0.2">
      <c r="A72" s="132" t="s">
        <v>56</v>
      </c>
      <c r="B72" s="133"/>
      <c r="C72" s="134"/>
      <c r="D72" s="135"/>
      <c r="E72" s="130"/>
      <c r="F72" s="130"/>
      <c r="G72" s="130"/>
      <c r="H72" s="130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</row>
    <row r="73" spans="1:250" s="43" customFormat="1" ht="14.25" hidden="1" customHeight="1" x14ac:dyDescent="0.2">
      <c r="A73" s="42" t="s">
        <v>70</v>
      </c>
      <c r="B73" s="42"/>
      <c r="C73" s="42"/>
      <c r="D73" s="13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</row>
    <row r="74" spans="1:250" s="43" customFormat="1" ht="14.25" hidden="1" customHeight="1" x14ac:dyDescent="0.2">
      <c r="A74" s="132" t="s">
        <v>57</v>
      </c>
      <c r="B74" s="42"/>
      <c r="C74" s="42"/>
      <c r="D74" s="136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</row>
    <row r="75" spans="1:250" s="43" customFormat="1" ht="12.75" hidden="1" customHeight="1" x14ac:dyDescent="0.2">
      <c r="A75" s="380" t="s">
        <v>58</v>
      </c>
      <c r="B75" s="380"/>
      <c r="C75" s="380"/>
      <c r="D75" s="380"/>
      <c r="E75" s="380"/>
      <c r="F75" s="380"/>
      <c r="G75" s="380"/>
      <c r="H75" s="380"/>
      <c r="I75" s="380"/>
      <c r="J75" s="231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</row>
    <row r="76" spans="1:250" hidden="1" x14ac:dyDescent="0.2">
      <c r="A76" s="121"/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250" ht="12.75" hidden="1" customHeight="1" x14ac:dyDescent="0.2">
      <c r="A77" s="120" t="s">
        <v>31</v>
      </c>
      <c r="B77" s="118"/>
      <c r="C77" s="118"/>
      <c r="D77" s="119"/>
      <c r="E77" s="118"/>
      <c r="F77" s="118"/>
      <c r="G77" s="118"/>
      <c r="H77" s="118"/>
      <c r="I77" s="118"/>
      <c r="J77" s="118"/>
    </row>
    <row r="78" spans="1:250" ht="12.75" hidden="1" customHeight="1" x14ac:dyDescent="0.2">
      <c r="A78" s="5" t="s">
        <v>32</v>
      </c>
      <c r="B78" s="118"/>
      <c r="C78" s="118"/>
      <c r="D78" s="119"/>
      <c r="E78" s="118"/>
      <c r="F78" s="118"/>
      <c r="G78" s="118"/>
      <c r="H78" s="118"/>
      <c r="I78" s="118"/>
      <c r="J78" s="118"/>
    </row>
    <row r="79" spans="1:250" ht="12.75" hidden="1" customHeight="1" x14ac:dyDescent="0.2">
      <c r="A79" s="5" t="s">
        <v>33</v>
      </c>
      <c r="B79" s="118"/>
      <c r="C79" s="118"/>
      <c r="D79" s="119"/>
      <c r="E79" s="118"/>
      <c r="F79" s="118"/>
      <c r="G79" s="118"/>
      <c r="H79" s="118"/>
      <c r="I79" s="118"/>
      <c r="J79" s="118"/>
    </row>
    <row r="80" spans="1:250" ht="12.75" hidden="1" customHeight="1" x14ac:dyDescent="0.2">
      <c r="A80" s="5" t="s">
        <v>34</v>
      </c>
      <c r="B80" s="118"/>
      <c r="C80" s="118"/>
      <c r="D80" s="119"/>
      <c r="E80" s="118"/>
      <c r="F80" s="118"/>
      <c r="G80" s="118"/>
      <c r="H80" s="118"/>
      <c r="I80" s="118"/>
      <c r="J80" s="118"/>
    </row>
    <row r="81" spans="1:10" ht="12.75" hidden="1" customHeight="1" x14ac:dyDescent="0.2">
      <c r="A81" s="5" t="s">
        <v>35</v>
      </c>
      <c r="B81" s="118"/>
      <c r="C81" s="118"/>
      <c r="D81" s="119"/>
      <c r="E81" s="118"/>
      <c r="F81" s="118"/>
      <c r="G81" s="118"/>
      <c r="H81" s="118"/>
      <c r="I81" s="118"/>
      <c r="J81" s="118"/>
    </row>
    <row r="82" spans="1:10" ht="12.75" hidden="1" customHeight="1" x14ac:dyDescent="0.2">
      <c r="A82" s="5" t="s">
        <v>36</v>
      </c>
      <c r="B82" s="118"/>
      <c r="C82" s="118"/>
      <c r="D82" s="119"/>
      <c r="E82" s="118"/>
      <c r="F82" s="118"/>
      <c r="G82" s="118"/>
      <c r="H82" s="118"/>
      <c r="I82" s="118"/>
      <c r="J82" s="118"/>
    </row>
    <row r="83" spans="1:10" ht="12.75" hidden="1" customHeight="1" x14ac:dyDescent="0.2">
      <c r="A83" s="5" t="s">
        <v>37</v>
      </c>
      <c r="B83" s="118"/>
      <c r="C83" s="118"/>
      <c r="D83" s="119"/>
      <c r="E83" s="118"/>
      <c r="F83" s="118"/>
      <c r="G83" s="118"/>
      <c r="H83" s="118"/>
      <c r="I83" s="118"/>
      <c r="J83" s="118"/>
    </row>
    <row r="84" spans="1:10" hidden="1" x14ac:dyDescent="0.2">
      <c r="D84" s="116"/>
    </row>
    <row r="85" spans="1:10" hidden="1" x14ac:dyDescent="0.2">
      <c r="A85" s="114" t="s">
        <v>38</v>
      </c>
      <c r="D85" s="116"/>
    </row>
    <row r="86" spans="1:10" hidden="1" x14ac:dyDescent="0.2">
      <c r="A86" s="19" t="s">
        <v>39</v>
      </c>
      <c r="D86" s="116"/>
    </row>
    <row r="87" spans="1:10" hidden="1" x14ac:dyDescent="0.2">
      <c r="A87" s="19" t="s">
        <v>40</v>
      </c>
      <c r="D87" s="116"/>
    </row>
    <row r="88" spans="1:10" hidden="1" x14ac:dyDescent="0.2">
      <c r="A88" s="19" t="s">
        <v>41</v>
      </c>
      <c r="D88" s="116"/>
    </row>
    <row r="89" spans="1:10" hidden="1" x14ac:dyDescent="0.2"/>
  </sheetData>
  <sheetProtection selectLockedCells="1" selectUnlockedCells="1"/>
  <mergeCells count="1">
    <mergeCell ref="A75:I75"/>
  </mergeCells>
  <printOptions horizontalCentered="1"/>
  <pageMargins left="0.7" right="0.7" top="0.75" bottom="0.75" header="0.3" footer="0.3"/>
  <pageSetup scale="78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P91"/>
  <sheetViews>
    <sheetView showGridLines="0" topLeftCell="A25" zoomScaleNormal="100" workbookViewId="0">
      <selection activeCell="H46" sqref="H46"/>
    </sheetView>
  </sheetViews>
  <sheetFormatPr defaultRowHeight="12.75" x14ac:dyDescent="0.2"/>
  <cols>
    <col min="1" max="1" width="48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9" width="12.28515625" style="5" bestFit="1" customWidth="1"/>
    <col min="10" max="10" width="13" style="5" customWidth="1"/>
    <col min="11" max="11" width="11.28515625" style="5" bestFit="1" customWidth="1"/>
    <col min="12" max="12" width="17.7109375" style="5" bestFit="1" customWidth="1"/>
    <col min="13" max="13" width="9.140625" style="5"/>
    <col min="14" max="14" width="18" style="5" bestFit="1" customWidth="1"/>
    <col min="15" max="240" width="9.140625" style="5"/>
  </cols>
  <sheetData>
    <row r="1" spans="1:250" ht="57" customHeight="1" x14ac:dyDescent="0.2">
      <c r="A1" s="1" t="s">
        <v>111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  <c r="J1" s="4" t="s">
        <v>110</v>
      </c>
    </row>
    <row r="2" spans="1:250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  <c r="J2" s="9">
        <v>0</v>
      </c>
    </row>
    <row r="3" spans="1:250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1.056</v>
      </c>
      <c r="H3" s="14">
        <f>G3</f>
        <v>1.056</v>
      </c>
      <c r="I3" s="14">
        <f>H3</f>
        <v>1.056</v>
      </c>
      <c r="J3" s="14">
        <f>I3</f>
        <v>1.056</v>
      </c>
    </row>
    <row r="4" spans="1:250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2">
        <v>7550</v>
      </c>
      <c r="K4" s="219" t="s">
        <v>112</v>
      </c>
    </row>
    <row r="5" spans="1:250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7151</v>
      </c>
      <c r="H5" s="17">
        <v>7275</v>
      </c>
      <c r="I5" s="17">
        <v>7400</v>
      </c>
      <c r="J5" s="17">
        <v>7500</v>
      </c>
      <c r="K5" s="223">
        <f>J5-F5</f>
        <v>500</v>
      </c>
      <c r="L5" s="225" t="s">
        <v>103</v>
      </c>
    </row>
    <row r="6" spans="1:250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17">
        <v>270</v>
      </c>
      <c r="K6" s="223">
        <f t="shared" ref="K6:K7" si="0">J6-F6</f>
        <v>-180</v>
      </c>
      <c r="L6" s="225" t="s">
        <v>104</v>
      </c>
    </row>
    <row r="7" spans="1:250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195</v>
      </c>
      <c r="H7" s="17">
        <v>205</v>
      </c>
      <c r="I7" s="17">
        <v>210</v>
      </c>
      <c r="J7" s="17">
        <v>215</v>
      </c>
      <c r="K7" s="223">
        <f t="shared" si="0"/>
        <v>18</v>
      </c>
      <c r="L7" s="225" t="s">
        <v>105</v>
      </c>
    </row>
    <row r="8" spans="1:250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 t="shared" ref="E8:J8" si="2">SUM(E5:E7)</f>
        <v>7647</v>
      </c>
      <c r="F8" s="163">
        <f t="shared" si="2"/>
        <v>7647</v>
      </c>
      <c r="G8" s="140">
        <f t="shared" si="2"/>
        <v>7726</v>
      </c>
      <c r="H8" s="23">
        <f t="shared" si="2"/>
        <v>7820</v>
      </c>
      <c r="I8" s="23">
        <f t="shared" si="2"/>
        <v>7910</v>
      </c>
      <c r="J8" s="23">
        <f t="shared" si="2"/>
        <v>7985</v>
      </c>
      <c r="K8" s="224">
        <f>SUM(K5:K7)</f>
        <v>338</v>
      </c>
      <c r="L8" s="226" t="s">
        <v>100</v>
      </c>
    </row>
    <row r="9" spans="1:250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79</v>
      </c>
      <c r="H9" s="26">
        <f>H8-G8</f>
        <v>94</v>
      </c>
      <c r="I9" s="26">
        <f>I8-H8</f>
        <v>90</v>
      </c>
      <c r="J9" s="26">
        <f>J8-I8</f>
        <v>75</v>
      </c>
      <c r="K9" s="220"/>
      <c r="L9" s="221"/>
    </row>
    <row r="10" spans="1:250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  <c r="J10" s="31"/>
    </row>
    <row r="11" spans="1:250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8161</v>
      </c>
      <c r="H11" s="31">
        <v>8263</v>
      </c>
      <c r="I11" s="31">
        <v>8361</v>
      </c>
      <c r="J11" s="31">
        <v>7442</v>
      </c>
      <c r="K11" s="222"/>
      <c r="L11" s="222"/>
    </row>
    <row r="12" spans="1:250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31"/>
      <c r="K12" s="124"/>
      <c r="L12" s="126"/>
    </row>
    <row r="13" spans="1:250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7"/>
      <c r="K13" s="125"/>
      <c r="L13" s="126"/>
    </row>
    <row r="14" spans="1:250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F20</f>
        <v>60415210</v>
      </c>
      <c r="H14" s="37">
        <f>G20</f>
        <v>64093210</v>
      </c>
      <c r="I14" s="37">
        <f>H20</f>
        <v>67510210</v>
      </c>
      <c r="J14" s="37">
        <f>I20</f>
        <v>71063210</v>
      </c>
      <c r="IG14"/>
      <c r="IH14"/>
      <c r="II14"/>
      <c r="IJ14"/>
      <c r="IK14"/>
      <c r="IL14"/>
      <c r="IM14"/>
      <c r="IN14"/>
      <c r="IO14"/>
      <c r="IP14"/>
    </row>
    <row r="15" spans="1:250" s="42" customFormat="1" ht="12.75" customHeight="1" x14ac:dyDescent="0.2">
      <c r="A15" s="38" t="s">
        <v>91</v>
      </c>
      <c r="B15" s="39"/>
      <c r="C15" s="39"/>
      <c r="D15" s="40"/>
      <c r="E15" s="166"/>
      <c r="F15" s="166"/>
      <c r="G15" s="128">
        <f>ROUND(142200000*0.026*0.8,-3)</f>
        <v>2958000</v>
      </c>
      <c r="H15" s="41">
        <f>ROUND(119500000*0.026*0.8,-3)</f>
        <v>2486000</v>
      </c>
      <c r="I15" s="41">
        <f>ROUND(124300000*0.026*0.8,-3)</f>
        <v>2585000</v>
      </c>
      <c r="J15" s="41">
        <f>ROUND(124300000*1.04*0.026*0.8,-3)</f>
        <v>2689000</v>
      </c>
      <c r="K15" s="42" t="s">
        <v>82</v>
      </c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ROUND(142200000*0.026*0.1,-3)</f>
        <v>370000</v>
      </c>
      <c r="H16" s="41">
        <f>ROUND(119500000*0.026*0.1,-3)</f>
        <v>311000</v>
      </c>
      <c r="I16" s="41">
        <f>ROUND(124300000*0.026*0.1,-3)</f>
        <v>323000</v>
      </c>
      <c r="J16" s="41">
        <f>ROUND(124300000*1.04*0.026*0.1,-3)</f>
        <v>336000</v>
      </c>
      <c r="K16" s="42" t="s">
        <v>63</v>
      </c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246" t="s">
        <v>116</v>
      </c>
      <c r="I17" s="41"/>
      <c r="J17" s="41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>
        <f>G34</f>
        <v>350000</v>
      </c>
      <c r="H18" s="41">
        <f>H34-10000</f>
        <v>620000</v>
      </c>
      <c r="I18" s="41">
        <f>I34-20000</f>
        <v>645000</v>
      </c>
      <c r="J18" s="41">
        <f>J34-30000</f>
        <v>670000</v>
      </c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42" customFormat="1" ht="12.75" customHeight="1" x14ac:dyDescent="0.2">
      <c r="A19" s="38" t="s">
        <v>118</v>
      </c>
      <c r="B19" s="39"/>
      <c r="C19" s="39"/>
      <c r="D19" s="40"/>
      <c r="E19" s="166"/>
      <c r="F19" s="166"/>
      <c r="G19" s="249"/>
      <c r="H19" s="41"/>
      <c r="I19" s="41"/>
      <c r="J19" s="41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2" customFormat="1" ht="12.75" customHeight="1" x14ac:dyDescent="0.2">
      <c r="A20" s="44" t="s">
        <v>11</v>
      </c>
      <c r="B20" s="45"/>
      <c r="C20" s="45"/>
      <c r="D20" s="22">
        <f t="shared" ref="D20:I20" si="3">SUM(D14:D18)</f>
        <v>50066510</v>
      </c>
      <c r="E20" s="163">
        <f t="shared" si="3"/>
        <v>60925100</v>
      </c>
      <c r="F20" s="163">
        <f t="shared" si="3"/>
        <v>60415210</v>
      </c>
      <c r="G20" s="144">
        <f t="shared" si="3"/>
        <v>64093210</v>
      </c>
      <c r="H20" s="46">
        <f t="shared" si="3"/>
        <v>67510210</v>
      </c>
      <c r="I20" s="46">
        <f t="shared" si="3"/>
        <v>71063210</v>
      </c>
      <c r="J20" s="46">
        <f t="shared" ref="J20" si="4">SUM(J14:J18)</f>
        <v>74758210</v>
      </c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42" customFormat="1" ht="12.75" customHeight="1" x14ac:dyDescent="0.2">
      <c r="A21" s="47" t="s">
        <v>12</v>
      </c>
      <c r="B21" s="48"/>
      <c r="C21" s="48"/>
      <c r="D21" s="22"/>
      <c r="E21" s="163"/>
      <c r="F21" s="163"/>
      <c r="G21" s="144"/>
      <c r="H21" s="46"/>
      <c r="I21" s="46"/>
      <c r="J21" s="46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42" customFormat="1" ht="12.75" customHeight="1" x14ac:dyDescent="0.2">
      <c r="A22" s="49" t="s">
        <v>13</v>
      </c>
      <c r="B22" s="39"/>
      <c r="C22" s="39"/>
      <c r="D22" s="50">
        <v>46623000</v>
      </c>
      <c r="E22" s="167">
        <v>43577000</v>
      </c>
      <c r="F22" s="167">
        <v>43577000</v>
      </c>
      <c r="G22" s="139">
        <v>44062000</v>
      </c>
      <c r="H22" s="51">
        <v>44496000</v>
      </c>
      <c r="I22" s="51">
        <v>44906000</v>
      </c>
      <c r="J22" s="51">
        <v>45255000</v>
      </c>
      <c r="K22" s="196"/>
      <c r="L22" s="5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42" customFormat="1" ht="12.75" customHeight="1" x14ac:dyDescent="0.2">
      <c r="A23" s="49" t="s">
        <v>14</v>
      </c>
      <c r="B23" s="39"/>
      <c r="C23" s="39"/>
      <c r="D23" s="50">
        <v>2139000</v>
      </c>
      <c r="E23" s="167">
        <v>2139000</v>
      </c>
      <c r="F23" s="167">
        <v>2139000</v>
      </c>
      <c r="G23" s="139">
        <v>1966000</v>
      </c>
      <c r="H23" s="51">
        <v>2066000</v>
      </c>
      <c r="I23" s="51">
        <v>2125000</v>
      </c>
      <c r="J23" s="51">
        <v>2174000</v>
      </c>
      <c r="K23" s="53"/>
      <c r="L23" s="5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42" customFormat="1" ht="12.75" customHeight="1" x14ac:dyDescent="0.2">
      <c r="A24" s="49" t="s">
        <v>15</v>
      </c>
      <c r="B24" s="39"/>
      <c r="C24" s="39"/>
      <c r="D24" s="50">
        <v>2251000</v>
      </c>
      <c r="E24" s="167">
        <v>2369000</v>
      </c>
      <c r="F24" s="167">
        <v>2369000</v>
      </c>
      <c r="G24" s="139">
        <v>2428000</v>
      </c>
      <c r="H24" s="51">
        <v>2458000</v>
      </c>
      <c r="I24" s="51">
        <v>2487000</v>
      </c>
      <c r="J24" s="51">
        <v>2511000</v>
      </c>
      <c r="L24" s="5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42" customFormat="1" ht="12.75" customHeight="1" x14ac:dyDescent="0.2">
      <c r="A25" s="47" t="s">
        <v>16</v>
      </c>
      <c r="B25" s="48"/>
      <c r="C25" s="48"/>
      <c r="D25" s="55">
        <f>4882846+454500+25000</f>
        <v>5362346</v>
      </c>
      <c r="E25" s="168">
        <v>5006432</v>
      </c>
      <c r="F25" s="168">
        <v>5006432</v>
      </c>
      <c r="G25" s="145">
        <f>E25</f>
        <v>5006432</v>
      </c>
      <c r="H25" s="56">
        <f>G25</f>
        <v>5006432</v>
      </c>
      <c r="I25" s="56">
        <f>H25</f>
        <v>5006432</v>
      </c>
      <c r="J25" s="56">
        <f>I25</f>
        <v>5006432</v>
      </c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42" customFormat="1" ht="12.75" customHeight="1" x14ac:dyDescent="0.2">
      <c r="A26" s="57" t="s">
        <v>17</v>
      </c>
      <c r="B26" s="58"/>
      <c r="C26" s="58"/>
      <c r="D26" s="59">
        <f>SUM(D17:D25)</f>
        <v>106441856</v>
      </c>
      <c r="E26" s="59">
        <f t="shared" ref="E26:J26" si="5">SUM(E20:E25)</f>
        <v>114016532</v>
      </c>
      <c r="F26" s="59">
        <f t="shared" si="5"/>
        <v>113506642</v>
      </c>
      <c r="G26" s="60">
        <f t="shared" si="5"/>
        <v>117555642</v>
      </c>
      <c r="H26" s="60">
        <f t="shared" si="5"/>
        <v>121536642</v>
      </c>
      <c r="I26" s="60">
        <f t="shared" si="5"/>
        <v>125587642</v>
      </c>
      <c r="J26" s="60">
        <f t="shared" si="5"/>
        <v>129704642</v>
      </c>
      <c r="K26" s="127"/>
      <c r="L26" s="127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42" customFormat="1" ht="12.75" customHeight="1" x14ac:dyDescent="0.2">
      <c r="A27" s="61" t="s">
        <v>18</v>
      </c>
      <c r="B27" s="62"/>
      <c r="C27" s="62"/>
      <c r="D27" s="75">
        <v>114220856</v>
      </c>
      <c r="E27" s="169">
        <v>112355442</v>
      </c>
      <c r="F27" s="169">
        <v>112355442</v>
      </c>
      <c r="G27" s="146">
        <f>F49</f>
        <v>114213342</v>
      </c>
      <c r="H27" s="63">
        <f>G49</f>
        <v>118153042</v>
      </c>
      <c r="I27" s="63">
        <f>H49</f>
        <v>121466905</v>
      </c>
      <c r="J27" s="63">
        <f>I49</f>
        <v>125087642</v>
      </c>
      <c r="K27" s="5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42" customFormat="1" ht="12.75" customHeight="1" thickBot="1" x14ac:dyDescent="0.25">
      <c r="A28" s="20" t="s">
        <v>101</v>
      </c>
      <c r="B28" s="21"/>
      <c r="C28" s="21"/>
      <c r="D28" s="64">
        <f t="shared" ref="D28:J28" si="6">D26-D27</f>
        <v>-7779000</v>
      </c>
      <c r="E28" s="170">
        <f t="shared" si="6"/>
        <v>1661090</v>
      </c>
      <c r="F28" s="170">
        <f t="shared" si="6"/>
        <v>1151200</v>
      </c>
      <c r="G28" s="147">
        <f t="shared" si="6"/>
        <v>3342300</v>
      </c>
      <c r="H28" s="65">
        <f t="shared" si="6"/>
        <v>3383600</v>
      </c>
      <c r="I28" s="65">
        <f t="shared" si="6"/>
        <v>4120737</v>
      </c>
      <c r="J28" s="65">
        <f t="shared" si="6"/>
        <v>4617000</v>
      </c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42" customFormat="1" ht="12.75" customHeight="1" thickTop="1" x14ac:dyDescent="0.2">
      <c r="A29" s="20"/>
      <c r="B29" s="21"/>
      <c r="C29" s="21"/>
      <c r="D29" s="66"/>
      <c r="E29" s="171"/>
      <c r="F29" s="171"/>
      <c r="G29" s="148"/>
      <c r="H29" s="67"/>
      <c r="I29" s="67"/>
      <c r="J29" s="67"/>
      <c r="K29" s="68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69" customFormat="1" ht="12.75" customHeight="1" x14ac:dyDescent="0.2">
      <c r="A30" s="20" t="s">
        <v>19</v>
      </c>
      <c r="B30" s="21"/>
      <c r="C30" s="21"/>
      <c r="D30" s="50"/>
      <c r="E30" s="167"/>
      <c r="F30" s="167"/>
      <c r="G30" s="139"/>
      <c r="H30" s="51"/>
      <c r="I30" s="51"/>
      <c r="J30" s="51"/>
    </row>
    <row r="31" spans="1:250" s="42" customFormat="1" ht="12.75" customHeight="1" x14ac:dyDescent="0.2">
      <c r="A31" s="47" t="s">
        <v>20</v>
      </c>
      <c r="B31" s="48"/>
      <c r="C31" s="48"/>
      <c r="D31" s="50"/>
      <c r="E31" s="167">
        <v>148000</v>
      </c>
      <c r="F31" s="167">
        <v>148000</v>
      </c>
      <c r="G31" s="139">
        <f>G24-E24</f>
        <v>59000</v>
      </c>
      <c r="H31" s="51">
        <f>H24-G24</f>
        <v>30000</v>
      </c>
      <c r="I31" s="51">
        <f>I24-H24</f>
        <v>29000</v>
      </c>
      <c r="J31" s="51">
        <f>J24-I24</f>
        <v>24000</v>
      </c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69" customFormat="1" ht="12.75" customHeight="1" x14ac:dyDescent="0.2">
      <c r="A32" s="70" t="s">
        <v>49</v>
      </c>
      <c r="B32" s="48"/>
      <c r="C32" s="48"/>
      <c r="D32" s="50"/>
      <c r="E32" s="167">
        <v>0</v>
      </c>
      <c r="F32" s="167">
        <v>-557100</v>
      </c>
      <c r="G32" s="139">
        <f>ROUND((G22-E22)/3,-3)</f>
        <v>162000</v>
      </c>
      <c r="H32" s="51">
        <f>ROUND((H22-G22)/3,-3)</f>
        <v>145000</v>
      </c>
      <c r="I32" s="51">
        <f>ROUND((I22-H22)/3,-3)</f>
        <v>137000</v>
      </c>
      <c r="J32" s="51">
        <f>ROUND((J22-I22)/3,-3)</f>
        <v>116000</v>
      </c>
    </row>
    <row r="33" spans="1:250" s="69" customFormat="1" ht="12.75" customHeight="1" x14ac:dyDescent="0.2">
      <c r="A33" s="47" t="s">
        <v>21</v>
      </c>
      <c r="B33" s="48"/>
      <c r="C33" s="48"/>
      <c r="D33" s="50"/>
      <c r="E33" s="167">
        <v>1002000</v>
      </c>
      <c r="F33" s="167">
        <v>1002000</v>
      </c>
      <c r="G33" s="139">
        <f>540000/12*7</f>
        <v>315000</v>
      </c>
      <c r="H33" s="51">
        <v>550000</v>
      </c>
      <c r="I33" s="51">
        <v>560000</v>
      </c>
      <c r="J33" s="51">
        <v>560000</v>
      </c>
    </row>
    <row r="34" spans="1:250" s="69" customFormat="1" ht="12.75" customHeight="1" x14ac:dyDescent="0.2">
      <c r="A34" s="70" t="s">
        <v>22</v>
      </c>
      <c r="B34" s="48"/>
      <c r="C34" s="48"/>
      <c r="D34" s="50"/>
      <c r="E34" s="167">
        <v>1160000</v>
      </c>
      <c r="F34" s="167">
        <v>1160000</v>
      </c>
      <c r="G34" s="139">
        <v>350000</v>
      </c>
      <c r="H34" s="51">
        <v>630000</v>
      </c>
      <c r="I34" s="51">
        <v>665000</v>
      </c>
      <c r="J34" s="51">
        <v>700000</v>
      </c>
    </row>
    <row r="35" spans="1:250" s="69" customFormat="1" ht="12.75" customHeight="1" x14ac:dyDescent="0.2">
      <c r="A35" s="70" t="s">
        <v>50</v>
      </c>
      <c r="B35" s="48"/>
      <c r="C35" s="48"/>
      <c r="D35" s="50"/>
      <c r="E35" s="167">
        <v>0</v>
      </c>
      <c r="F35" s="167">
        <v>0</v>
      </c>
      <c r="G35" s="139">
        <v>750000</v>
      </c>
      <c r="H35" s="51">
        <v>750000</v>
      </c>
      <c r="I35" s="51">
        <v>750000</v>
      </c>
      <c r="J35" s="51">
        <v>750000</v>
      </c>
    </row>
    <row r="36" spans="1:250" s="69" customFormat="1" ht="12.75" customHeight="1" x14ac:dyDescent="0.2">
      <c r="A36" s="70" t="s">
        <v>51</v>
      </c>
      <c r="B36" s="21"/>
      <c r="C36" s="21"/>
      <c r="D36" s="50"/>
      <c r="E36" s="167">
        <v>0</v>
      </c>
      <c r="F36" s="167">
        <v>0</v>
      </c>
      <c r="G36" s="139">
        <v>100000</v>
      </c>
      <c r="H36" s="51">
        <v>100000</v>
      </c>
      <c r="I36" s="51">
        <v>100000</v>
      </c>
      <c r="J36" s="51">
        <v>100000</v>
      </c>
    </row>
    <row r="37" spans="1:250" s="69" customFormat="1" ht="12.75" customHeight="1" x14ac:dyDescent="0.2">
      <c r="A37" s="70" t="s">
        <v>88</v>
      </c>
      <c r="B37" s="21"/>
      <c r="C37" s="21"/>
      <c r="D37" s="50"/>
      <c r="E37" s="167"/>
      <c r="F37" s="167"/>
      <c r="G37" s="139">
        <f>G16</f>
        <v>370000</v>
      </c>
      <c r="H37" s="51">
        <f>H16</f>
        <v>311000</v>
      </c>
      <c r="I37" s="51">
        <f>I16</f>
        <v>323000</v>
      </c>
      <c r="J37" s="51">
        <f>J16</f>
        <v>336000</v>
      </c>
    </row>
    <row r="38" spans="1:250" s="69" customFormat="1" ht="12.75" customHeight="1" x14ac:dyDescent="0.2">
      <c r="A38" s="70" t="s">
        <v>67</v>
      </c>
      <c r="B38" s="21"/>
      <c r="C38" s="21"/>
      <c r="D38" s="50"/>
      <c r="E38" s="167"/>
      <c r="F38" s="167"/>
      <c r="G38" s="139"/>
      <c r="H38" s="182">
        <v>-300000</v>
      </c>
      <c r="I38" s="182">
        <v>-1200000</v>
      </c>
      <c r="J38" s="182">
        <v>-900000</v>
      </c>
    </row>
    <row r="39" spans="1:250" s="69" customFormat="1" ht="12.75" customHeight="1" x14ac:dyDescent="0.2">
      <c r="A39" s="70" t="s">
        <v>68</v>
      </c>
      <c r="B39" s="21"/>
      <c r="C39" s="21"/>
      <c r="D39" s="50"/>
      <c r="E39" s="167"/>
      <c r="F39" s="167"/>
      <c r="G39" s="139"/>
      <c r="H39" s="182"/>
      <c r="I39" s="182">
        <v>-497000</v>
      </c>
      <c r="J39" s="182"/>
    </row>
    <row r="40" spans="1:250" s="92" customFormat="1" ht="12.75" customHeight="1" x14ac:dyDescent="0.2">
      <c r="A40" s="117" t="s">
        <v>54</v>
      </c>
      <c r="B40" s="96"/>
      <c r="C40" s="96"/>
      <c r="D40" s="95"/>
      <c r="E40" s="105">
        <v>67000</v>
      </c>
      <c r="F40" s="105">
        <v>67000</v>
      </c>
      <c r="G40" s="128"/>
      <c r="H40" s="90"/>
      <c r="I40" s="90"/>
      <c r="J40" s="90"/>
      <c r="K40" s="54"/>
      <c r="L40" s="91"/>
      <c r="M40" s="54"/>
      <c r="N40" s="91"/>
      <c r="O40" s="54"/>
      <c r="P40" s="54"/>
    </row>
    <row r="41" spans="1:250" s="92" customFormat="1" ht="12.75" customHeight="1" x14ac:dyDescent="0.2">
      <c r="A41" s="117" t="s">
        <v>26</v>
      </c>
      <c r="B41" s="96"/>
      <c r="C41" s="96"/>
      <c r="D41" s="95"/>
      <c r="E41" s="105">
        <v>38000</v>
      </c>
      <c r="F41" s="105">
        <v>38000</v>
      </c>
      <c r="G41" s="232"/>
      <c r="H41" s="90"/>
      <c r="I41" s="90"/>
      <c r="J41" s="90"/>
      <c r="K41" s="54"/>
      <c r="L41" s="91"/>
      <c r="M41" s="54"/>
      <c r="N41" s="91"/>
      <c r="O41" s="54"/>
      <c r="P41" s="54"/>
    </row>
    <row r="42" spans="1:250" s="69" customFormat="1" ht="12.75" customHeight="1" x14ac:dyDescent="0.2">
      <c r="A42" s="178" t="s">
        <v>107</v>
      </c>
      <c r="B42" s="179"/>
      <c r="C42" s="179"/>
      <c r="D42" s="180"/>
      <c r="E42" s="181"/>
      <c r="F42" s="181"/>
      <c r="G42" s="157">
        <f>405700</f>
        <v>405700</v>
      </c>
      <c r="H42" s="156">
        <v>297863</v>
      </c>
      <c r="I42" s="156">
        <v>443133</v>
      </c>
      <c r="J42" s="156">
        <v>253357</v>
      </c>
    </row>
    <row r="43" spans="1:250" s="69" customFormat="1" ht="12.75" customHeight="1" x14ac:dyDescent="0.2">
      <c r="A43" s="178" t="s">
        <v>90</v>
      </c>
      <c r="B43" s="179"/>
      <c r="C43" s="179"/>
      <c r="D43" s="180"/>
      <c r="E43" s="181"/>
      <c r="F43" s="181"/>
      <c r="G43" s="157">
        <f>768000</f>
        <v>768000</v>
      </c>
      <c r="H43" s="156"/>
      <c r="I43" s="156"/>
      <c r="J43" s="156"/>
    </row>
    <row r="44" spans="1:250" s="69" customFormat="1" ht="12.75" customHeight="1" x14ac:dyDescent="0.2">
      <c r="A44" s="178" t="s">
        <v>109</v>
      </c>
      <c r="B44" s="179"/>
      <c r="C44" s="179"/>
      <c r="D44" s="180"/>
      <c r="E44" s="181"/>
      <c r="F44" s="181"/>
      <c r="G44" s="157"/>
      <c r="H44" s="157">
        <v>500000</v>
      </c>
      <c r="I44" s="156">
        <v>500000</v>
      </c>
      <c r="J44" s="156">
        <v>500000</v>
      </c>
    </row>
    <row r="45" spans="1:250" s="69" customFormat="1" ht="12.75" customHeight="1" x14ac:dyDescent="0.2">
      <c r="A45" s="235" t="s">
        <v>86</v>
      </c>
      <c r="B45" s="236"/>
      <c r="C45" s="236"/>
      <c r="D45" s="237"/>
      <c r="E45" s="238"/>
      <c r="F45" s="238"/>
      <c r="G45" s="239">
        <v>500000</v>
      </c>
      <c r="H45" s="240">
        <v>100000</v>
      </c>
      <c r="I45" s="240">
        <v>1310604</v>
      </c>
      <c r="J45" s="240">
        <v>1517867</v>
      </c>
    </row>
    <row r="46" spans="1:250" s="69" customFormat="1" ht="12.75" customHeight="1" x14ac:dyDescent="0.2">
      <c r="A46" s="235" t="s">
        <v>114</v>
      </c>
      <c r="B46" s="236"/>
      <c r="C46" s="236"/>
      <c r="D46" s="237"/>
      <c r="E46" s="238"/>
      <c r="F46" s="238"/>
      <c r="G46" s="239">
        <v>160000</v>
      </c>
      <c r="H46" s="240">
        <v>200000</v>
      </c>
      <c r="I46" s="240"/>
      <c r="J46" s="240"/>
    </row>
    <row r="47" spans="1:250" s="69" customFormat="1" ht="12.75" customHeight="1" x14ac:dyDescent="0.2">
      <c r="A47" s="235" t="s">
        <v>115</v>
      </c>
      <c r="B47" s="236"/>
      <c r="C47" s="236"/>
      <c r="D47" s="237"/>
      <c r="E47" s="238"/>
      <c r="F47" s="238"/>
      <c r="G47" s="239"/>
      <c r="H47" s="240"/>
      <c r="I47" s="240">
        <v>500000</v>
      </c>
      <c r="J47" s="240"/>
    </row>
    <row r="48" spans="1:250" s="42" customFormat="1" ht="12.75" customHeight="1" x14ac:dyDescent="0.2">
      <c r="A48" s="20" t="s">
        <v>23</v>
      </c>
      <c r="B48" s="21"/>
      <c r="C48" s="21"/>
      <c r="D48" s="71">
        <f>SUM(D32:D41)</f>
        <v>0</v>
      </c>
      <c r="E48" s="172">
        <f>SUM(E31:E41)</f>
        <v>2415000</v>
      </c>
      <c r="F48" s="172">
        <f>SUM(F31:F47)</f>
        <v>1857900</v>
      </c>
      <c r="G48" s="72">
        <f t="shared" ref="G48:J48" si="7">SUM(G31:G47)</f>
        <v>3939700</v>
      </c>
      <c r="H48" s="72">
        <f t="shared" si="7"/>
        <v>3313863</v>
      </c>
      <c r="I48" s="72">
        <f t="shared" si="7"/>
        <v>3620737</v>
      </c>
      <c r="J48" s="72">
        <f t="shared" si="7"/>
        <v>3957224</v>
      </c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69" customFormat="1" ht="12.75" customHeight="1" x14ac:dyDescent="0.2">
      <c r="A49" s="73" t="s">
        <v>45</v>
      </c>
      <c r="B49" s="74"/>
      <c r="C49" s="74"/>
      <c r="D49" s="75">
        <v>114220856</v>
      </c>
      <c r="E49" s="173">
        <f t="shared" ref="E49:J49" si="8">E27+E48</f>
        <v>114770442</v>
      </c>
      <c r="F49" s="173">
        <f t="shared" si="8"/>
        <v>114213342</v>
      </c>
      <c r="G49" s="150">
        <f t="shared" si="8"/>
        <v>118153042</v>
      </c>
      <c r="H49" s="76">
        <f t="shared" si="8"/>
        <v>121466905</v>
      </c>
      <c r="I49" s="76">
        <f t="shared" si="8"/>
        <v>125087642</v>
      </c>
      <c r="J49" s="76">
        <f t="shared" si="8"/>
        <v>129044866</v>
      </c>
      <c r="K49" s="42"/>
      <c r="L49" s="42"/>
      <c r="M49" s="42"/>
      <c r="N49" s="42"/>
      <c r="O49" s="42"/>
      <c r="P49" s="42"/>
    </row>
    <row r="50" spans="1:250" s="42" customFormat="1" ht="12.75" customHeight="1" x14ac:dyDescent="0.2">
      <c r="A50" s="77"/>
      <c r="B50" s="78"/>
      <c r="C50" s="78"/>
      <c r="D50" s="79"/>
      <c r="E50" s="174"/>
      <c r="F50" s="174"/>
      <c r="G50" s="151"/>
      <c r="H50" s="80"/>
      <c r="I50" s="80"/>
      <c r="J50" s="80"/>
      <c r="IG50" s="43"/>
      <c r="IH50" s="43"/>
      <c r="II50" s="43"/>
      <c r="IJ50" s="43"/>
      <c r="IK50" s="43"/>
      <c r="IL50" s="43"/>
      <c r="IM50" s="43"/>
      <c r="IN50" s="43"/>
      <c r="IO50" s="43"/>
      <c r="IP50" s="43"/>
    </row>
    <row r="51" spans="1:250" s="69" customFormat="1" ht="12.75" customHeight="1" thickBot="1" x14ac:dyDescent="0.25">
      <c r="A51" s="81" t="s">
        <v>24</v>
      </c>
      <c r="B51" s="82"/>
      <c r="C51" s="82"/>
      <c r="D51" s="83">
        <f t="shared" ref="D51:J51" si="9">D26-D49</f>
        <v>-7779000</v>
      </c>
      <c r="E51" s="175">
        <f t="shared" si="9"/>
        <v>-753910</v>
      </c>
      <c r="F51" s="175">
        <f t="shared" si="9"/>
        <v>-706700</v>
      </c>
      <c r="G51" s="84">
        <f t="shared" si="9"/>
        <v>-597400</v>
      </c>
      <c r="H51" s="84">
        <f t="shared" si="9"/>
        <v>69737</v>
      </c>
      <c r="I51" s="84">
        <f t="shared" si="9"/>
        <v>500000</v>
      </c>
      <c r="J51" s="247">
        <f t="shared" si="9"/>
        <v>659776</v>
      </c>
      <c r="K51" s="42"/>
      <c r="L51" s="85"/>
      <c r="M51" s="42"/>
      <c r="N51" s="42"/>
      <c r="O51" s="42"/>
      <c r="P51" s="42"/>
    </row>
    <row r="52" spans="1:250" s="92" customFormat="1" ht="12.75" customHeight="1" thickTop="1" x14ac:dyDescent="0.2">
      <c r="A52" s="86"/>
      <c r="B52" s="87"/>
      <c r="C52" s="88"/>
      <c r="D52" s="89"/>
      <c r="E52" s="105"/>
      <c r="F52" s="214"/>
      <c r="G52" s="129"/>
      <c r="H52" s="90"/>
      <c r="I52" s="90"/>
      <c r="J52" s="90"/>
      <c r="K52" s="91"/>
      <c r="L52" s="54"/>
      <c r="M52" s="91"/>
      <c r="N52" s="54"/>
      <c r="O52" s="54"/>
    </row>
    <row r="53" spans="1:250" s="69" customFormat="1" ht="12.75" customHeight="1" x14ac:dyDescent="0.2">
      <c r="A53" s="93" t="s">
        <v>59</v>
      </c>
      <c r="B53" s="87"/>
      <c r="C53" s="87"/>
      <c r="D53" s="95"/>
      <c r="E53" s="105"/>
      <c r="F53" s="214"/>
      <c r="G53" s="129"/>
      <c r="H53" s="90"/>
      <c r="I53" s="90"/>
      <c r="J53" s="90"/>
      <c r="K53" s="42"/>
      <c r="L53" s="68"/>
      <c r="M53" s="42"/>
      <c r="N53" s="68"/>
      <c r="O53" s="42"/>
      <c r="P53" s="42"/>
    </row>
    <row r="54" spans="1:250" s="92" customFormat="1" ht="12.75" customHeight="1" x14ac:dyDescent="0.2">
      <c r="A54" s="241" t="s">
        <v>25</v>
      </c>
      <c r="B54" s="242"/>
      <c r="C54" s="242"/>
      <c r="D54" s="243"/>
      <c r="E54" s="244">
        <v>300000</v>
      </c>
      <c r="F54" s="244">
        <v>300000</v>
      </c>
      <c r="G54" s="245" t="s">
        <v>106</v>
      </c>
      <c r="H54" s="245"/>
      <c r="I54" s="245"/>
      <c r="J54" s="245"/>
      <c r="K54" s="54"/>
      <c r="L54" s="91"/>
      <c r="M54" s="54"/>
      <c r="N54" s="91"/>
      <c r="O54" s="54"/>
      <c r="P54" s="54"/>
    </row>
    <row r="55" spans="1:250" s="92" customFormat="1" ht="12.75" hidden="1" customHeight="1" x14ac:dyDescent="0.2">
      <c r="A55" s="241"/>
      <c r="B55" s="242"/>
      <c r="C55" s="242"/>
      <c r="D55" s="243"/>
      <c r="E55" s="244"/>
      <c r="F55" s="244"/>
      <c r="G55" s="245"/>
      <c r="H55" s="245"/>
      <c r="I55" s="245"/>
      <c r="J55" s="245"/>
      <c r="K55" s="54"/>
      <c r="L55" s="91"/>
      <c r="M55" s="54"/>
      <c r="N55" s="91"/>
      <c r="O55" s="54"/>
      <c r="P55" s="54"/>
    </row>
    <row r="56" spans="1:250" s="92" customFormat="1" ht="12.75" customHeight="1" x14ac:dyDescent="0.2">
      <c r="A56" s="241" t="s">
        <v>28</v>
      </c>
      <c r="B56" s="242"/>
      <c r="C56" s="242"/>
      <c r="D56" s="243"/>
      <c r="E56" s="244">
        <v>300000</v>
      </c>
      <c r="F56" s="244">
        <v>300000</v>
      </c>
      <c r="G56" s="245">
        <v>200000</v>
      </c>
      <c r="H56" s="245"/>
      <c r="I56" s="245"/>
      <c r="J56" s="245"/>
      <c r="K56" s="54"/>
      <c r="L56" s="91"/>
      <c r="M56" s="54"/>
      <c r="N56" s="91"/>
      <c r="O56" s="54"/>
      <c r="P56" s="54"/>
    </row>
    <row r="57" spans="1:250" s="92" customFormat="1" ht="12.75" customHeight="1" x14ac:dyDescent="0.2">
      <c r="A57" s="241" t="s">
        <v>42</v>
      </c>
      <c r="B57" s="242"/>
      <c r="C57" s="242"/>
      <c r="D57" s="243"/>
      <c r="E57" s="244">
        <v>115000</v>
      </c>
      <c r="F57" s="244">
        <v>115000</v>
      </c>
      <c r="G57" s="245">
        <v>100000</v>
      </c>
      <c r="H57" s="245"/>
      <c r="I57" s="245"/>
      <c r="J57" s="245"/>
      <c r="K57" s="54"/>
      <c r="L57" s="91"/>
      <c r="M57" s="54"/>
      <c r="N57" s="91"/>
      <c r="O57" s="54"/>
      <c r="P57" s="54"/>
    </row>
    <row r="58" spans="1:250" s="92" customFormat="1" ht="12.75" customHeight="1" x14ac:dyDescent="0.2">
      <c r="A58" s="178" t="s">
        <v>108</v>
      </c>
      <c r="B58" s="204"/>
      <c r="C58" s="204"/>
      <c r="D58" s="205"/>
      <c r="E58" s="206">
        <v>500000</v>
      </c>
      <c r="F58" s="206">
        <v>500000</v>
      </c>
      <c r="G58" s="207">
        <v>228310</v>
      </c>
      <c r="H58" s="207">
        <v>271660</v>
      </c>
      <c r="I58" s="207">
        <f>260100-260100</f>
        <v>0</v>
      </c>
      <c r="J58" s="207">
        <f>216750-216750</f>
        <v>0</v>
      </c>
      <c r="K58" s="130" t="s">
        <v>117</v>
      </c>
      <c r="L58" s="91"/>
      <c r="M58" s="54"/>
      <c r="N58" s="91"/>
      <c r="O58" s="54"/>
      <c r="P58" s="54"/>
    </row>
    <row r="59" spans="1:250" s="92" customFormat="1" ht="12.75" customHeight="1" x14ac:dyDescent="0.2">
      <c r="A59" s="241" t="s">
        <v>29</v>
      </c>
      <c r="B59" s="242"/>
      <c r="C59" s="242"/>
      <c r="D59" s="243"/>
      <c r="E59" s="244">
        <v>406000</v>
      </c>
      <c r="F59" s="244">
        <v>406000</v>
      </c>
      <c r="G59" s="245"/>
      <c r="H59" s="245"/>
      <c r="I59" s="245"/>
      <c r="J59" s="245"/>
      <c r="K59" s="54"/>
      <c r="L59" s="91"/>
      <c r="M59" s="54"/>
      <c r="N59" s="91"/>
      <c r="O59" s="54"/>
      <c r="P59" s="54"/>
    </row>
    <row r="60" spans="1:250" s="92" customFormat="1" ht="12.75" customHeight="1" x14ac:dyDescent="0.2">
      <c r="A60" s="86"/>
      <c r="B60" s="96"/>
      <c r="C60" s="96"/>
      <c r="D60" s="95"/>
      <c r="E60" s="105"/>
      <c r="F60" s="105"/>
      <c r="G60" s="129"/>
      <c r="H60" s="90"/>
      <c r="I60" s="90"/>
      <c r="J60" s="90"/>
      <c r="K60" s="54"/>
      <c r="L60" s="91"/>
      <c r="M60" s="54"/>
      <c r="N60" s="91"/>
      <c r="O60" s="54"/>
      <c r="P60" s="54"/>
    </row>
    <row r="61" spans="1:250" s="69" customFormat="1" ht="12.75" customHeight="1" x14ac:dyDescent="0.2">
      <c r="A61" s="93" t="s">
        <v>60</v>
      </c>
      <c r="B61" s="87"/>
      <c r="C61" s="87"/>
      <c r="D61" s="97"/>
      <c r="E61" s="176">
        <f t="shared" ref="E61:J61" si="10">SUM(E54:E60)</f>
        <v>1621000</v>
      </c>
      <c r="F61" s="176">
        <f t="shared" si="10"/>
        <v>1621000</v>
      </c>
      <c r="G61" s="152">
        <f t="shared" si="10"/>
        <v>528310</v>
      </c>
      <c r="H61" s="98">
        <f t="shared" si="10"/>
        <v>271660</v>
      </c>
      <c r="I61" s="98">
        <f t="shared" si="10"/>
        <v>0</v>
      </c>
      <c r="J61" s="98">
        <f t="shared" si="10"/>
        <v>0</v>
      </c>
      <c r="K61" s="99"/>
      <c r="L61" s="100"/>
      <c r="M61" s="99"/>
      <c r="N61" s="100"/>
      <c r="O61" s="99"/>
      <c r="P61" s="99"/>
    </row>
    <row r="62" spans="1:250" s="69" customFormat="1" ht="12.75" customHeight="1" x14ac:dyDescent="0.2">
      <c r="A62" s="93"/>
      <c r="B62" s="87"/>
      <c r="C62" s="87"/>
      <c r="D62" s="95"/>
      <c r="E62" s="105"/>
      <c r="F62" s="105"/>
      <c r="G62" s="129"/>
      <c r="H62" s="90"/>
      <c r="I62" s="90"/>
      <c r="J62" s="90"/>
      <c r="K62" s="42"/>
      <c r="L62" s="68"/>
      <c r="M62" s="42"/>
      <c r="N62" s="68"/>
      <c r="O62" s="42"/>
      <c r="P62" s="42"/>
    </row>
    <row r="63" spans="1:250" s="42" customFormat="1" ht="12.75" customHeight="1" thickBot="1" x14ac:dyDescent="0.25">
      <c r="A63" s="101" t="s">
        <v>30</v>
      </c>
      <c r="B63" s="102"/>
      <c r="C63" s="102"/>
      <c r="D63" s="103">
        <f t="shared" ref="D63:J63" si="11">D51-D61</f>
        <v>-7779000</v>
      </c>
      <c r="E63" s="103">
        <f t="shared" si="11"/>
        <v>-2374910</v>
      </c>
      <c r="F63" s="103">
        <f t="shared" si="11"/>
        <v>-2327700</v>
      </c>
      <c r="G63" s="153">
        <f t="shared" si="11"/>
        <v>-1125710</v>
      </c>
      <c r="H63" s="104">
        <f t="shared" si="11"/>
        <v>-201923</v>
      </c>
      <c r="I63" s="104">
        <f t="shared" si="11"/>
        <v>500000</v>
      </c>
      <c r="J63" s="104">
        <f t="shared" si="11"/>
        <v>659776</v>
      </c>
      <c r="IG63" s="43"/>
      <c r="IH63" s="43"/>
      <c r="II63" s="43"/>
      <c r="IJ63" s="43"/>
      <c r="IK63" s="43"/>
      <c r="IL63" s="43"/>
      <c r="IM63" s="43"/>
      <c r="IN63" s="43"/>
      <c r="IO63" s="43"/>
      <c r="IP63" s="43"/>
    </row>
    <row r="64" spans="1:250" s="92" customFormat="1" ht="12.75" customHeight="1" thickTop="1" x14ac:dyDescent="0.2">
      <c r="A64" s="86"/>
      <c r="B64" s="87"/>
      <c r="C64" s="94"/>
      <c r="D64" s="105"/>
      <c r="E64" s="105"/>
      <c r="F64" s="105"/>
      <c r="G64" s="129"/>
      <c r="H64" s="90"/>
      <c r="I64" s="90"/>
      <c r="J64" s="90"/>
      <c r="K64" s="91"/>
      <c r="L64" s="54"/>
      <c r="M64" s="91"/>
      <c r="N64" s="54"/>
      <c r="O64" s="54"/>
    </row>
    <row r="65" spans="1:250" s="92" customFormat="1" ht="12.75" customHeight="1" x14ac:dyDescent="0.2">
      <c r="A65" s="86" t="s">
        <v>52</v>
      </c>
      <c r="B65" s="87"/>
      <c r="C65" s="94"/>
      <c r="D65" s="105"/>
      <c r="E65" s="105">
        <v>10331928</v>
      </c>
      <c r="F65" s="105">
        <v>9145975</v>
      </c>
      <c r="G65" s="129">
        <f>F66+300000</f>
        <v>7118275</v>
      </c>
      <c r="H65" s="90">
        <f>G66</f>
        <v>5992565</v>
      </c>
      <c r="I65" s="90">
        <f>H66</f>
        <v>5790642</v>
      </c>
      <c r="J65" s="90">
        <f>I66</f>
        <v>6290642</v>
      </c>
      <c r="K65" s="91"/>
      <c r="L65" s="54"/>
      <c r="M65" s="91"/>
      <c r="N65" s="54"/>
      <c r="O65" s="54"/>
    </row>
    <row r="66" spans="1:250" s="92" customFormat="1" ht="12.75" customHeight="1" thickBot="1" x14ac:dyDescent="0.25">
      <c r="A66" s="106" t="s">
        <v>95</v>
      </c>
      <c r="B66" s="107"/>
      <c r="C66" s="108"/>
      <c r="D66" s="109"/>
      <c r="E66" s="109">
        <f t="shared" ref="E66:J66" si="12">E63+E65</f>
        <v>7957018</v>
      </c>
      <c r="F66" s="109">
        <f t="shared" si="12"/>
        <v>6818275</v>
      </c>
      <c r="G66" s="110">
        <f t="shared" si="12"/>
        <v>5992565</v>
      </c>
      <c r="H66" s="110">
        <f t="shared" si="12"/>
        <v>5790642</v>
      </c>
      <c r="I66" s="110">
        <f t="shared" si="12"/>
        <v>6290642</v>
      </c>
      <c r="J66" s="110">
        <f t="shared" si="12"/>
        <v>6950418</v>
      </c>
      <c r="K66" s="91"/>
      <c r="L66" s="54"/>
      <c r="M66" s="91"/>
      <c r="N66" s="54"/>
      <c r="O66" s="54"/>
    </row>
    <row r="67" spans="1:250" s="69" customFormat="1" ht="15.75" thickTop="1" x14ac:dyDescent="0.2">
      <c r="A67" s="111" t="s">
        <v>96</v>
      </c>
      <c r="B67" s="111"/>
      <c r="C67" s="111"/>
      <c r="D67" s="112"/>
      <c r="E67" s="215">
        <f t="shared" ref="E67:J67" si="13">E66/E49</f>
        <v>6.9329854109998118E-2</v>
      </c>
      <c r="F67" s="215">
        <f t="shared" si="13"/>
        <v>5.9697710272763056E-2</v>
      </c>
      <c r="G67" s="216">
        <f t="shared" si="13"/>
        <v>5.0718668758439583E-2</v>
      </c>
      <c r="H67" s="216">
        <f t="shared" si="13"/>
        <v>4.7672590324088687E-2</v>
      </c>
      <c r="I67" s="216">
        <f t="shared" si="13"/>
        <v>5.0289875957530643E-2</v>
      </c>
      <c r="J67" s="216">
        <f t="shared" si="13"/>
        <v>5.3860476712029752E-2</v>
      </c>
      <c r="K67" s="42"/>
      <c r="L67" s="85"/>
      <c r="M67" s="42"/>
      <c r="N67" s="42"/>
      <c r="O67" s="42"/>
      <c r="P67" s="42"/>
    </row>
    <row r="68" spans="1:250" s="69" customFormat="1" ht="15" x14ac:dyDescent="0.2">
      <c r="A68" s="21" t="s">
        <v>97</v>
      </c>
      <c r="B68" s="21"/>
      <c r="C68" s="21"/>
      <c r="D68" s="197"/>
      <c r="E68" s="217">
        <f t="shared" ref="E68:J68" si="14">E49*0.05</f>
        <v>5738522.1000000006</v>
      </c>
      <c r="F68" s="217">
        <f t="shared" si="14"/>
        <v>5710667.1000000006</v>
      </c>
      <c r="G68" s="218">
        <f t="shared" si="14"/>
        <v>5907652.1000000006</v>
      </c>
      <c r="H68" s="218">
        <f t="shared" si="14"/>
        <v>6073345.25</v>
      </c>
      <c r="I68" s="218">
        <f t="shared" si="14"/>
        <v>6254382.1000000006</v>
      </c>
      <c r="J68" s="218">
        <f t="shared" si="14"/>
        <v>6452243.3000000007</v>
      </c>
      <c r="K68" s="42"/>
      <c r="L68" s="85"/>
      <c r="M68" s="42"/>
      <c r="N68" s="42"/>
      <c r="O68" s="42"/>
      <c r="P68" s="42"/>
    </row>
    <row r="69" spans="1:250" s="69" customFormat="1" ht="15" x14ac:dyDescent="0.2">
      <c r="A69" s="199" t="s">
        <v>98</v>
      </c>
      <c r="B69" s="199"/>
      <c r="C69" s="199"/>
      <c r="D69" s="200"/>
      <c r="E69" s="201">
        <f>E66-E68</f>
        <v>2218495.8999999994</v>
      </c>
      <c r="F69" s="201">
        <f>F66-F68</f>
        <v>1107607.8999999994</v>
      </c>
      <c r="G69" s="201">
        <f>G66-G68</f>
        <v>84912.899999999441</v>
      </c>
      <c r="H69" s="201">
        <f t="shared" ref="H69:J69" si="15">H66-H68</f>
        <v>-282703.25</v>
      </c>
      <c r="I69" s="201">
        <f t="shared" si="15"/>
        <v>36259.899999999441</v>
      </c>
      <c r="J69" s="201">
        <f t="shared" si="15"/>
        <v>498174.69999999925</v>
      </c>
      <c r="K69" s="42"/>
      <c r="L69" s="85"/>
      <c r="M69" s="42"/>
      <c r="N69" s="42"/>
      <c r="O69" s="42"/>
      <c r="P69" s="42"/>
    </row>
    <row r="70" spans="1:250" s="42" customFormat="1" ht="14.25" hidden="1" customHeight="1" x14ac:dyDescent="0.2">
      <c r="A70" s="123" t="s">
        <v>43</v>
      </c>
      <c r="B70" s="123"/>
      <c r="C70" s="123"/>
      <c r="D70" s="123"/>
      <c r="E70" s="123"/>
      <c r="F70" s="123"/>
      <c r="G70" s="123"/>
      <c r="H70" s="123"/>
      <c r="I70" s="123"/>
      <c r="J70" s="123"/>
      <c r="IG70" s="43"/>
      <c r="IH70" s="43"/>
      <c r="II70" s="43"/>
      <c r="IJ70" s="43"/>
      <c r="IK70" s="43"/>
      <c r="IL70" s="43"/>
      <c r="IM70" s="43"/>
      <c r="IN70" s="43"/>
      <c r="IO70" s="43"/>
      <c r="IP70" s="43"/>
    </row>
    <row r="71" spans="1:250" s="113" customFormat="1" ht="15" hidden="1" x14ac:dyDescent="0.2">
      <c r="A71" s="122" t="s">
        <v>53</v>
      </c>
      <c r="B71" s="122"/>
      <c r="C71" s="122"/>
      <c r="D71" s="122"/>
      <c r="E71" s="122"/>
      <c r="F71" s="122"/>
      <c r="G71" s="122"/>
      <c r="H71" s="12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3"/>
      <c r="IH71" s="43"/>
      <c r="II71" s="43"/>
      <c r="IJ71" s="43"/>
      <c r="IK71" s="43"/>
      <c r="IL71" s="43"/>
      <c r="IM71" s="43"/>
      <c r="IN71" s="43"/>
      <c r="IO71" s="43"/>
      <c r="IP71" s="43"/>
    </row>
    <row r="72" spans="1:250" s="42" customFormat="1" ht="14.25" hidden="1" customHeight="1" x14ac:dyDescent="0.2">
      <c r="A72" s="123" t="s">
        <v>61</v>
      </c>
      <c r="B72" s="123"/>
      <c r="C72" s="123"/>
      <c r="D72" s="123"/>
      <c r="E72" s="123"/>
      <c r="F72" s="123"/>
      <c r="G72" s="123"/>
      <c r="H72" s="123"/>
      <c r="I72" s="123"/>
      <c r="J72" s="123"/>
      <c r="IG72" s="43"/>
      <c r="IH72" s="43"/>
      <c r="II72" s="43"/>
      <c r="IJ72" s="43"/>
      <c r="IK72" s="43"/>
      <c r="IL72" s="43"/>
      <c r="IM72" s="43"/>
      <c r="IN72" s="43"/>
      <c r="IO72" s="43"/>
      <c r="IP72" s="43"/>
    </row>
    <row r="73" spans="1:250" s="113" customFormat="1" ht="14.25" hidden="1" customHeight="1" x14ac:dyDescent="0.2">
      <c r="A73" s="122" t="s">
        <v>55</v>
      </c>
      <c r="B73" s="122"/>
      <c r="C73" s="122"/>
      <c r="D73" s="122"/>
      <c r="E73" s="122"/>
      <c r="F73" s="122"/>
      <c r="G73" s="122"/>
      <c r="H73" s="122"/>
      <c r="I73" s="130"/>
      <c r="J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0"/>
      <c r="FL73" s="130"/>
      <c r="FM73" s="130"/>
      <c r="FN73" s="130"/>
      <c r="FO73" s="130"/>
      <c r="FP73" s="130"/>
      <c r="FQ73" s="130"/>
      <c r="FR73" s="130"/>
      <c r="FS73" s="130"/>
      <c r="FT73" s="130"/>
      <c r="FU73" s="130"/>
      <c r="FV73" s="130"/>
      <c r="FW73" s="130"/>
      <c r="FX73" s="130"/>
      <c r="FY73" s="130"/>
      <c r="FZ73" s="130"/>
      <c r="GA73" s="130"/>
      <c r="GB73" s="130"/>
      <c r="GC73" s="130"/>
      <c r="GD73" s="130"/>
      <c r="GE73" s="130"/>
      <c r="GF73" s="130"/>
      <c r="GG73" s="130"/>
      <c r="GH73" s="130"/>
      <c r="GI73" s="130"/>
      <c r="GJ73" s="130"/>
      <c r="GK73" s="130"/>
      <c r="GL73" s="130"/>
      <c r="GM73" s="130"/>
      <c r="GN73" s="130"/>
      <c r="GO73" s="130"/>
      <c r="GP73" s="130"/>
      <c r="GQ73" s="130"/>
      <c r="GR73" s="130"/>
      <c r="GS73" s="130"/>
      <c r="GT73" s="130"/>
      <c r="GU73" s="130"/>
      <c r="GV73" s="130"/>
      <c r="GW73" s="130"/>
      <c r="GX73" s="130"/>
      <c r="GY73" s="130"/>
      <c r="GZ73" s="130"/>
      <c r="HA73" s="130"/>
      <c r="HB73" s="130"/>
      <c r="HC73" s="130"/>
      <c r="HD73" s="130"/>
      <c r="HE73" s="130"/>
      <c r="HF73" s="130"/>
      <c r="HG73" s="130"/>
      <c r="HH73" s="130"/>
      <c r="HI73" s="130"/>
      <c r="HJ73" s="130"/>
      <c r="HK73" s="130"/>
      <c r="HL73" s="130"/>
      <c r="HM73" s="130"/>
      <c r="HN73" s="130"/>
      <c r="HO73" s="130"/>
      <c r="HP73" s="130"/>
      <c r="HQ73" s="130"/>
      <c r="HR73" s="130"/>
      <c r="HS73" s="130"/>
      <c r="HT73" s="130"/>
      <c r="HU73" s="130"/>
      <c r="HV73" s="130"/>
      <c r="HW73" s="130"/>
      <c r="HX73" s="130"/>
      <c r="HY73" s="130"/>
      <c r="HZ73" s="130"/>
      <c r="IA73" s="130"/>
      <c r="IB73" s="130"/>
      <c r="IC73" s="130"/>
      <c r="ID73" s="130"/>
      <c r="IE73" s="130"/>
      <c r="IF73" s="130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</row>
    <row r="74" spans="1:250" s="43" customFormat="1" ht="14.25" hidden="1" customHeight="1" x14ac:dyDescent="0.2">
      <c r="A74" s="132" t="s">
        <v>56</v>
      </c>
      <c r="B74" s="133"/>
      <c r="C74" s="134"/>
      <c r="D74" s="135"/>
      <c r="E74" s="130"/>
      <c r="F74" s="130"/>
      <c r="G74" s="130"/>
      <c r="H74" s="130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</row>
    <row r="75" spans="1:250" s="43" customFormat="1" ht="14.25" hidden="1" customHeight="1" x14ac:dyDescent="0.2">
      <c r="A75" s="42" t="s">
        <v>70</v>
      </c>
      <c r="B75" s="42"/>
      <c r="C75" s="42"/>
      <c r="D75" s="136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</row>
    <row r="76" spans="1:250" s="43" customFormat="1" ht="14.25" hidden="1" customHeight="1" x14ac:dyDescent="0.2">
      <c r="A76" s="132" t="s">
        <v>57</v>
      </c>
      <c r="B76" s="42"/>
      <c r="C76" s="42"/>
      <c r="D76" s="136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</row>
    <row r="77" spans="1:250" s="43" customFormat="1" ht="12.75" hidden="1" customHeight="1" x14ac:dyDescent="0.2">
      <c r="A77" s="380" t="s">
        <v>58</v>
      </c>
      <c r="B77" s="380"/>
      <c r="C77" s="380"/>
      <c r="D77" s="380"/>
      <c r="E77" s="380"/>
      <c r="F77" s="380"/>
      <c r="G77" s="380"/>
      <c r="H77" s="380"/>
      <c r="I77" s="380"/>
      <c r="J77" s="230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</row>
    <row r="78" spans="1:250" hidden="1" x14ac:dyDescent="0.2">
      <c r="A78" s="121"/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250" ht="12.75" hidden="1" customHeight="1" x14ac:dyDescent="0.2">
      <c r="A79" s="120" t="s">
        <v>31</v>
      </c>
      <c r="B79" s="118"/>
      <c r="C79" s="118"/>
      <c r="D79" s="119"/>
      <c r="E79" s="118"/>
      <c r="F79" s="118"/>
      <c r="G79" s="118"/>
      <c r="H79" s="118"/>
      <c r="I79" s="118"/>
      <c r="J79" s="118"/>
    </row>
    <row r="80" spans="1:250" ht="12.75" hidden="1" customHeight="1" x14ac:dyDescent="0.2">
      <c r="A80" s="5" t="s">
        <v>32</v>
      </c>
      <c r="B80" s="118"/>
      <c r="C80" s="118"/>
      <c r="D80" s="119"/>
      <c r="E80" s="118"/>
      <c r="F80" s="118"/>
      <c r="G80" s="118"/>
      <c r="H80" s="118"/>
      <c r="I80" s="118"/>
      <c r="J80" s="118"/>
    </row>
    <row r="81" spans="1:10" ht="12.75" hidden="1" customHeight="1" x14ac:dyDescent="0.2">
      <c r="A81" s="5" t="s">
        <v>33</v>
      </c>
      <c r="B81" s="118"/>
      <c r="C81" s="118"/>
      <c r="D81" s="119"/>
      <c r="E81" s="118"/>
      <c r="F81" s="118"/>
      <c r="G81" s="118"/>
      <c r="H81" s="118"/>
      <c r="I81" s="118"/>
      <c r="J81" s="118"/>
    </row>
    <row r="82" spans="1:10" ht="12.75" hidden="1" customHeight="1" x14ac:dyDescent="0.2">
      <c r="A82" s="5" t="s">
        <v>34</v>
      </c>
      <c r="B82" s="118"/>
      <c r="C82" s="118"/>
      <c r="D82" s="119"/>
      <c r="E82" s="118"/>
      <c r="F82" s="118"/>
      <c r="G82" s="118"/>
      <c r="H82" s="118"/>
      <c r="I82" s="118"/>
      <c r="J82" s="118"/>
    </row>
    <row r="83" spans="1:10" ht="12.75" hidden="1" customHeight="1" x14ac:dyDescent="0.2">
      <c r="A83" s="5" t="s">
        <v>35</v>
      </c>
      <c r="B83" s="118"/>
      <c r="C83" s="118"/>
      <c r="D83" s="119"/>
      <c r="E83" s="118"/>
      <c r="F83" s="118"/>
      <c r="G83" s="118"/>
      <c r="H83" s="118"/>
      <c r="I83" s="118"/>
      <c r="J83" s="118"/>
    </row>
    <row r="84" spans="1:10" ht="12.75" hidden="1" customHeight="1" x14ac:dyDescent="0.2">
      <c r="A84" s="5" t="s">
        <v>36</v>
      </c>
      <c r="B84" s="118"/>
      <c r="C84" s="118"/>
      <c r="D84" s="119"/>
      <c r="E84" s="118"/>
      <c r="F84" s="118"/>
      <c r="G84" s="118"/>
      <c r="H84" s="118"/>
      <c r="I84" s="118"/>
      <c r="J84" s="118"/>
    </row>
    <row r="85" spans="1:10" ht="12.75" hidden="1" customHeight="1" x14ac:dyDescent="0.2">
      <c r="A85" s="5" t="s">
        <v>37</v>
      </c>
      <c r="B85" s="118"/>
      <c r="C85" s="118"/>
      <c r="D85" s="119"/>
      <c r="E85" s="118"/>
      <c r="F85" s="118"/>
      <c r="G85" s="118"/>
      <c r="H85" s="118"/>
      <c r="I85" s="118"/>
      <c r="J85" s="118"/>
    </row>
    <row r="86" spans="1:10" hidden="1" x14ac:dyDescent="0.2">
      <c r="D86" s="116"/>
    </row>
    <row r="87" spans="1:10" hidden="1" x14ac:dyDescent="0.2">
      <c r="A87" s="114" t="s">
        <v>38</v>
      </c>
      <c r="D87" s="116"/>
    </row>
    <row r="88" spans="1:10" hidden="1" x14ac:dyDescent="0.2">
      <c r="A88" s="19" t="s">
        <v>39</v>
      </c>
      <c r="D88" s="116"/>
    </row>
    <row r="89" spans="1:10" hidden="1" x14ac:dyDescent="0.2">
      <c r="A89" s="19" t="s">
        <v>40</v>
      </c>
      <c r="D89" s="116"/>
    </row>
    <row r="90" spans="1:10" hidden="1" x14ac:dyDescent="0.2">
      <c r="A90" s="19" t="s">
        <v>41</v>
      </c>
      <c r="D90" s="116"/>
    </row>
    <row r="91" spans="1:10" hidden="1" x14ac:dyDescent="0.2"/>
  </sheetData>
  <sheetProtection selectLockedCells="1" selectUnlockedCells="1"/>
  <mergeCells count="1">
    <mergeCell ref="A77:I77"/>
  </mergeCells>
  <printOptions horizontalCentered="1"/>
  <pageMargins left="0.7" right="0.7" top="0.75" bottom="0.75" header="0.3" footer="0.3"/>
  <pageSetup scale="75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9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P92"/>
  <sheetViews>
    <sheetView showGridLines="0" topLeftCell="A19" zoomScaleNormal="100" workbookViewId="0">
      <selection activeCell="I47" sqref="I47"/>
    </sheetView>
  </sheetViews>
  <sheetFormatPr defaultRowHeight="12.75" x14ac:dyDescent="0.2"/>
  <cols>
    <col min="1" max="1" width="48" style="5" customWidth="1"/>
    <col min="2" max="2" width="13.42578125" style="5" hidden="1" customWidth="1"/>
    <col min="3" max="3" width="2.85546875" style="5" hidden="1" customWidth="1"/>
    <col min="4" max="4" width="12.28515625" style="115" hidden="1" customWidth="1"/>
    <col min="5" max="5" width="12.28515625" style="5" hidden="1" customWidth="1"/>
    <col min="6" max="6" width="13.42578125" style="5" customWidth="1"/>
    <col min="7" max="7" width="13.140625" style="5" bestFit="1" customWidth="1"/>
    <col min="8" max="10" width="12.28515625" style="5" bestFit="1" customWidth="1"/>
    <col min="11" max="11" width="11.28515625" style="5" bestFit="1" customWidth="1"/>
    <col min="12" max="12" width="17.7109375" style="5" bestFit="1" customWidth="1"/>
    <col min="13" max="13" width="9.140625" style="5"/>
    <col min="14" max="14" width="18" style="5" bestFit="1" customWidth="1"/>
    <col min="15" max="240" width="9.140625" style="5"/>
  </cols>
  <sheetData>
    <row r="1" spans="1:250" ht="57" customHeight="1" x14ac:dyDescent="0.2">
      <c r="A1" s="1" t="s">
        <v>111</v>
      </c>
      <c r="B1" s="2"/>
      <c r="C1" s="2"/>
      <c r="D1" s="3" t="s">
        <v>44</v>
      </c>
      <c r="E1" s="159" t="s">
        <v>0</v>
      </c>
      <c r="F1" s="159" t="s">
        <v>92</v>
      </c>
      <c r="G1" s="137" t="s">
        <v>46</v>
      </c>
      <c r="H1" s="4" t="s">
        <v>47</v>
      </c>
      <c r="I1" s="4" t="s">
        <v>48</v>
      </c>
      <c r="J1" s="4" t="s">
        <v>110</v>
      </c>
    </row>
    <row r="2" spans="1:250" s="10" customFormat="1" ht="15.75" customHeight="1" x14ac:dyDescent="0.25">
      <c r="A2" s="6" t="s">
        <v>1</v>
      </c>
      <c r="B2" s="7"/>
      <c r="C2" s="7"/>
      <c r="D2" s="8">
        <v>0.09</v>
      </c>
      <c r="E2" s="160">
        <v>-0.09</v>
      </c>
      <c r="F2" s="160">
        <v>-0.09</v>
      </c>
      <c r="G2" s="154">
        <v>0</v>
      </c>
      <c r="H2" s="9">
        <v>0</v>
      </c>
      <c r="I2" s="9">
        <v>0</v>
      </c>
      <c r="J2" s="9">
        <v>0</v>
      </c>
    </row>
    <row r="3" spans="1:250" s="15" customFormat="1" ht="12.75" customHeight="1" x14ac:dyDescent="0.2">
      <c r="A3" s="11" t="s">
        <v>2</v>
      </c>
      <c r="B3" s="12"/>
      <c r="C3" s="12"/>
      <c r="D3" s="13">
        <f>D11/D8</f>
        <v>1.0422684510401483</v>
      </c>
      <c r="E3" s="161">
        <f>E11/E8</f>
        <v>1.0553158101216162</v>
      </c>
      <c r="F3" s="161">
        <f>F11/F8</f>
        <v>1.0553158101216162</v>
      </c>
      <c r="G3" s="138">
        <v>1.056</v>
      </c>
      <c r="H3" s="14">
        <f>G3</f>
        <v>1.056</v>
      </c>
      <c r="I3" s="14">
        <f>H3</f>
        <v>1.056</v>
      </c>
      <c r="J3" s="14">
        <f>I3</f>
        <v>1.056</v>
      </c>
    </row>
    <row r="4" spans="1:250" s="15" customFormat="1" ht="12.75" customHeight="1" x14ac:dyDescent="0.2">
      <c r="A4" s="209" t="s">
        <v>94</v>
      </c>
      <c r="B4" s="210"/>
      <c r="C4" s="210"/>
      <c r="D4" s="211"/>
      <c r="E4" s="212">
        <v>7151</v>
      </c>
      <c r="F4" s="212">
        <v>7151</v>
      </c>
      <c r="G4" s="213">
        <v>7250</v>
      </c>
      <c r="H4" s="212">
        <v>7350</v>
      </c>
      <c r="I4" s="212">
        <v>7450</v>
      </c>
      <c r="J4" s="212">
        <v>7550</v>
      </c>
      <c r="K4" s="219" t="s">
        <v>112</v>
      </c>
    </row>
    <row r="5" spans="1:250" s="19" customFormat="1" ht="12.75" customHeight="1" x14ac:dyDescent="0.2">
      <c r="A5" s="11" t="s">
        <v>3</v>
      </c>
      <c r="B5" s="12"/>
      <c r="C5" s="12"/>
      <c r="D5" s="16">
        <v>6900</v>
      </c>
      <c r="E5" s="162">
        <v>7000</v>
      </c>
      <c r="F5" s="162">
        <v>7000</v>
      </c>
      <c r="G5" s="139">
        <v>7151</v>
      </c>
      <c r="H5" s="17">
        <v>7275</v>
      </c>
      <c r="I5" s="17">
        <v>7400</v>
      </c>
      <c r="J5" s="17">
        <v>7500</v>
      </c>
      <c r="K5" s="223">
        <f>J5-F5</f>
        <v>500</v>
      </c>
      <c r="L5" s="225" t="s">
        <v>103</v>
      </c>
    </row>
    <row r="6" spans="1:250" s="19" customFormat="1" ht="12.75" customHeight="1" x14ac:dyDescent="0.2">
      <c r="A6" s="11" t="s">
        <v>4</v>
      </c>
      <c r="B6" s="12"/>
      <c r="C6" s="12"/>
      <c r="D6" s="16">
        <v>450</v>
      </c>
      <c r="E6" s="162">
        <v>450</v>
      </c>
      <c r="F6" s="162">
        <v>450</v>
      </c>
      <c r="G6" s="139">
        <v>380</v>
      </c>
      <c r="H6" s="17">
        <v>340</v>
      </c>
      <c r="I6" s="17">
        <v>300</v>
      </c>
      <c r="J6" s="17">
        <v>270</v>
      </c>
      <c r="K6" s="223">
        <f t="shared" ref="K6:K7" si="0">J6-F6</f>
        <v>-180</v>
      </c>
      <c r="L6" s="225" t="s">
        <v>104</v>
      </c>
    </row>
    <row r="7" spans="1:250" s="19" customFormat="1" ht="12.75" customHeight="1" x14ac:dyDescent="0.2">
      <c r="A7" s="11" t="s">
        <v>5</v>
      </c>
      <c r="B7" s="12"/>
      <c r="C7" s="12"/>
      <c r="D7" s="16">
        <v>197</v>
      </c>
      <c r="E7" s="162">
        <v>197</v>
      </c>
      <c r="F7" s="162">
        <v>197</v>
      </c>
      <c r="G7" s="139">
        <v>195</v>
      </c>
      <c r="H7" s="17">
        <v>205</v>
      </c>
      <c r="I7" s="17">
        <v>210</v>
      </c>
      <c r="J7" s="17">
        <v>215</v>
      </c>
      <c r="K7" s="223">
        <f t="shared" si="0"/>
        <v>18</v>
      </c>
      <c r="L7" s="225" t="s">
        <v>105</v>
      </c>
    </row>
    <row r="8" spans="1:250" s="15" customFormat="1" ht="12.75" customHeight="1" x14ac:dyDescent="0.2">
      <c r="A8" s="20" t="s">
        <v>6</v>
      </c>
      <c r="B8" s="21"/>
      <c r="C8" s="21"/>
      <c r="D8" s="22">
        <f t="shared" ref="D8" si="1">SUM(D5:D7)</f>
        <v>7547</v>
      </c>
      <c r="E8" s="163">
        <f t="shared" ref="E8:J8" si="2">SUM(E5:E7)</f>
        <v>7647</v>
      </c>
      <c r="F8" s="163">
        <f t="shared" si="2"/>
        <v>7647</v>
      </c>
      <c r="G8" s="140">
        <f t="shared" si="2"/>
        <v>7726</v>
      </c>
      <c r="H8" s="23">
        <f t="shared" si="2"/>
        <v>7820</v>
      </c>
      <c r="I8" s="23">
        <f t="shared" si="2"/>
        <v>7910</v>
      </c>
      <c r="J8" s="23">
        <f t="shared" si="2"/>
        <v>7985</v>
      </c>
      <c r="K8" s="224">
        <f>SUM(K5:K7)</f>
        <v>338</v>
      </c>
      <c r="L8" s="226" t="s">
        <v>100</v>
      </c>
    </row>
    <row r="9" spans="1:250" s="27" customFormat="1" ht="12.75" customHeight="1" x14ac:dyDescent="0.2">
      <c r="A9" s="24" t="s">
        <v>7</v>
      </c>
      <c r="B9" s="25"/>
      <c r="C9" s="25"/>
      <c r="D9" s="26">
        <f>D8-7547</f>
        <v>0</v>
      </c>
      <c r="E9" s="164">
        <f>E8-7547</f>
        <v>100</v>
      </c>
      <c r="F9" s="164">
        <f>F8-7547</f>
        <v>100</v>
      </c>
      <c r="G9" s="141">
        <f>G8-E8</f>
        <v>79</v>
      </c>
      <c r="H9" s="26">
        <f>H8-G8</f>
        <v>94</v>
      </c>
      <c r="I9" s="26">
        <f>I8-H8</f>
        <v>90</v>
      </c>
      <c r="J9" s="26">
        <f>J8-I8</f>
        <v>75</v>
      </c>
      <c r="K9" s="220"/>
      <c r="L9" s="221"/>
    </row>
    <row r="10" spans="1:250" s="15" customFormat="1" ht="12.75" customHeight="1" x14ac:dyDescent="0.2">
      <c r="A10" s="28"/>
      <c r="B10" s="29"/>
      <c r="C10" s="29"/>
      <c r="D10" s="30"/>
      <c r="E10" s="165"/>
      <c r="F10" s="165"/>
      <c r="G10" s="140"/>
      <c r="H10" s="31"/>
      <c r="I10" s="31"/>
      <c r="J10" s="31"/>
    </row>
    <row r="11" spans="1:250" s="15" customFormat="1" ht="12.75" customHeight="1" x14ac:dyDescent="0.2">
      <c r="A11" s="28" t="s">
        <v>8</v>
      </c>
      <c r="B11" s="29"/>
      <c r="C11" s="29"/>
      <c r="D11" s="30">
        <v>7866</v>
      </c>
      <c r="E11" s="165">
        <v>8070</v>
      </c>
      <c r="F11" s="165">
        <v>8070</v>
      </c>
      <c r="G11" s="140">
        <v>8161</v>
      </c>
      <c r="H11" s="31">
        <v>8263</v>
      </c>
      <c r="I11" s="31">
        <v>8361</v>
      </c>
      <c r="J11" s="31">
        <v>7442</v>
      </c>
      <c r="K11" s="222"/>
      <c r="L11" s="222"/>
    </row>
    <row r="12" spans="1:250" s="15" customFormat="1" ht="12.75" customHeight="1" x14ac:dyDescent="0.2">
      <c r="A12" s="28"/>
      <c r="B12" s="29"/>
      <c r="C12" s="29"/>
      <c r="D12" s="30"/>
      <c r="E12" s="165"/>
      <c r="F12" s="165"/>
      <c r="G12" s="142"/>
      <c r="H12" s="31"/>
      <c r="I12" s="31"/>
      <c r="J12" s="31"/>
      <c r="K12" s="124"/>
      <c r="L12" s="126"/>
    </row>
    <row r="13" spans="1:250" s="15" customFormat="1" ht="12.75" customHeight="1" x14ac:dyDescent="0.2">
      <c r="A13" s="32" t="s">
        <v>9</v>
      </c>
      <c r="B13" s="33"/>
      <c r="C13" s="33"/>
      <c r="D13" s="30"/>
      <c r="E13" s="162"/>
      <c r="F13" s="162"/>
      <c r="G13" s="143"/>
      <c r="H13" s="17"/>
      <c r="I13" s="17"/>
      <c r="J13" s="17"/>
      <c r="K13" s="125"/>
      <c r="L13" s="126"/>
    </row>
    <row r="14" spans="1:250" s="5" customFormat="1" ht="12.75" customHeight="1" x14ac:dyDescent="0.2">
      <c r="A14" s="34" t="s">
        <v>10</v>
      </c>
      <c r="B14" s="35"/>
      <c r="C14" s="35"/>
      <c r="D14" s="36">
        <v>50066510</v>
      </c>
      <c r="E14" s="164">
        <v>60925100</v>
      </c>
      <c r="F14" s="164">
        <v>60415210</v>
      </c>
      <c r="G14" s="128">
        <f>F20</f>
        <v>60415210</v>
      </c>
      <c r="H14" s="37">
        <f>G20</f>
        <v>64093210</v>
      </c>
      <c r="I14" s="37">
        <f>H20</f>
        <v>67510210</v>
      </c>
      <c r="J14" s="37">
        <f>I20</f>
        <v>71063210</v>
      </c>
      <c r="IG14"/>
      <c r="IH14"/>
      <c r="II14"/>
      <c r="IJ14"/>
      <c r="IK14"/>
      <c r="IL14"/>
      <c r="IM14"/>
      <c r="IN14"/>
      <c r="IO14"/>
      <c r="IP14"/>
    </row>
    <row r="15" spans="1:250" s="42" customFormat="1" ht="12.75" customHeight="1" x14ac:dyDescent="0.2">
      <c r="A15" s="38" t="s">
        <v>91</v>
      </c>
      <c r="B15" s="39"/>
      <c r="C15" s="39"/>
      <c r="D15" s="40"/>
      <c r="E15" s="166"/>
      <c r="F15" s="166"/>
      <c r="G15" s="128">
        <f>ROUND(142200000*0.026*0.8,-3)</f>
        <v>2958000</v>
      </c>
      <c r="H15" s="41">
        <f>ROUND(119500000*0.026*0.8,-3)</f>
        <v>2486000</v>
      </c>
      <c r="I15" s="41">
        <f>ROUND(124300000*0.026*0.8,-3)</f>
        <v>2585000</v>
      </c>
      <c r="J15" s="41">
        <f>ROUND(124300000*1.04*0.026*0.8,-3)</f>
        <v>2689000</v>
      </c>
      <c r="K15" s="42" t="s">
        <v>82</v>
      </c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42" customFormat="1" ht="12.75" customHeight="1" x14ac:dyDescent="0.2">
      <c r="A16" s="38" t="s">
        <v>87</v>
      </c>
      <c r="B16" s="39"/>
      <c r="C16" s="39"/>
      <c r="D16" s="40"/>
      <c r="E16" s="166"/>
      <c r="F16" s="166"/>
      <c r="G16" s="128">
        <f>ROUND(142200000*0.026*0.1,-3)</f>
        <v>370000</v>
      </c>
      <c r="H16" s="41">
        <f>ROUND(119500000*0.026*0.1,-3)</f>
        <v>311000</v>
      </c>
      <c r="I16" s="41">
        <f>ROUND(124300000*0.026*0.1,-3)</f>
        <v>323000</v>
      </c>
      <c r="J16" s="41">
        <f>ROUND(124300000*1.04*0.026*0.1,-3)</f>
        <v>336000</v>
      </c>
      <c r="K16" s="42" t="s">
        <v>63</v>
      </c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42" customFormat="1" ht="12.75" customHeight="1" x14ac:dyDescent="0.2">
      <c r="A17" s="38" t="s">
        <v>64</v>
      </c>
      <c r="B17" s="39"/>
      <c r="C17" s="39"/>
      <c r="D17" s="40"/>
      <c r="E17" s="166"/>
      <c r="F17" s="166"/>
      <c r="G17" s="128"/>
      <c r="H17" s="246" t="s">
        <v>116</v>
      </c>
      <c r="I17" s="41"/>
      <c r="J17" s="41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42" customFormat="1" ht="12.75" customHeight="1" x14ac:dyDescent="0.2">
      <c r="A18" s="38" t="s">
        <v>65</v>
      </c>
      <c r="B18" s="39"/>
      <c r="C18" s="39"/>
      <c r="D18" s="40"/>
      <c r="E18" s="166"/>
      <c r="F18" s="166"/>
      <c r="G18" s="128">
        <f>G34</f>
        <v>350000</v>
      </c>
      <c r="H18" s="41">
        <f>H34-10000</f>
        <v>620000</v>
      </c>
      <c r="I18" s="41">
        <f>I34-20000</f>
        <v>645000</v>
      </c>
      <c r="J18" s="41">
        <f>J34-30000</f>
        <v>670000</v>
      </c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42" customFormat="1" ht="12.75" customHeight="1" x14ac:dyDescent="0.2">
      <c r="A19" s="38" t="s">
        <v>118</v>
      </c>
      <c r="B19" s="39"/>
      <c r="C19" s="39"/>
      <c r="D19" s="40"/>
      <c r="E19" s="166"/>
      <c r="F19" s="166"/>
      <c r="G19" s="249"/>
      <c r="H19" s="41"/>
      <c r="I19" s="41"/>
      <c r="J19" s="41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42" customFormat="1" ht="12.75" customHeight="1" x14ac:dyDescent="0.2">
      <c r="A20" s="44" t="s">
        <v>11</v>
      </c>
      <c r="B20" s="45"/>
      <c r="C20" s="45"/>
      <c r="D20" s="22">
        <f t="shared" ref="D20:I20" si="3">SUM(D14:D18)</f>
        <v>50066510</v>
      </c>
      <c r="E20" s="163">
        <f t="shared" si="3"/>
        <v>60925100</v>
      </c>
      <c r="F20" s="163">
        <f t="shared" si="3"/>
        <v>60415210</v>
      </c>
      <c r="G20" s="144">
        <f t="shared" si="3"/>
        <v>64093210</v>
      </c>
      <c r="H20" s="46">
        <f t="shared" si="3"/>
        <v>67510210</v>
      </c>
      <c r="I20" s="46">
        <f t="shared" si="3"/>
        <v>71063210</v>
      </c>
      <c r="J20" s="46">
        <f t="shared" ref="J20" si="4">SUM(J14:J18)</f>
        <v>74758210</v>
      </c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42" customFormat="1" ht="12.75" customHeight="1" x14ac:dyDescent="0.2">
      <c r="A21" s="47" t="s">
        <v>12</v>
      </c>
      <c r="B21" s="48"/>
      <c r="C21" s="48"/>
      <c r="D21" s="22"/>
      <c r="E21" s="163"/>
      <c r="F21" s="163"/>
      <c r="G21" s="144"/>
      <c r="H21" s="46"/>
      <c r="I21" s="46"/>
      <c r="J21" s="46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42" customFormat="1" ht="12.75" customHeight="1" x14ac:dyDescent="0.2">
      <c r="A22" s="49" t="s">
        <v>13</v>
      </c>
      <c r="B22" s="39"/>
      <c r="C22" s="39"/>
      <c r="D22" s="50">
        <v>46623000</v>
      </c>
      <c r="E22" s="167">
        <v>43577000</v>
      </c>
      <c r="F22" s="167">
        <v>43577000</v>
      </c>
      <c r="G22" s="139">
        <v>44062000</v>
      </c>
      <c r="H22" s="51">
        <v>44496000</v>
      </c>
      <c r="I22" s="51">
        <v>44906000</v>
      </c>
      <c r="J22" s="51">
        <v>45255000</v>
      </c>
      <c r="K22" s="196"/>
      <c r="L22" s="5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42" customFormat="1" ht="12.75" customHeight="1" x14ac:dyDescent="0.2">
      <c r="A23" s="49" t="s">
        <v>14</v>
      </c>
      <c r="B23" s="39"/>
      <c r="C23" s="39"/>
      <c r="D23" s="50">
        <v>2139000</v>
      </c>
      <c r="E23" s="167">
        <v>2139000</v>
      </c>
      <c r="F23" s="167">
        <v>2139000</v>
      </c>
      <c r="G23" s="139">
        <v>1966000</v>
      </c>
      <c r="H23" s="51">
        <v>2066000</v>
      </c>
      <c r="I23" s="51">
        <v>2125000</v>
      </c>
      <c r="J23" s="51">
        <v>2174000</v>
      </c>
      <c r="K23" s="53"/>
      <c r="L23" s="5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42" customFormat="1" ht="12.75" customHeight="1" x14ac:dyDescent="0.2">
      <c r="A24" s="49" t="s">
        <v>15</v>
      </c>
      <c r="B24" s="39"/>
      <c r="C24" s="39"/>
      <c r="D24" s="50">
        <v>2251000</v>
      </c>
      <c r="E24" s="167">
        <v>2369000</v>
      </c>
      <c r="F24" s="167">
        <v>2369000</v>
      </c>
      <c r="G24" s="139">
        <v>2428000</v>
      </c>
      <c r="H24" s="51">
        <v>2458000</v>
      </c>
      <c r="I24" s="51">
        <v>2487000</v>
      </c>
      <c r="J24" s="51">
        <v>2511000</v>
      </c>
      <c r="L24" s="5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42" customFormat="1" ht="12.75" customHeight="1" x14ac:dyDescent="0.2">
      <c r="A25" s="47" t="s">
        <v>16</v>
      </c>
      <c r="B25" s="48"/>
      <c r="C25" s="48"/>
      <c r="D25" s="55">
        <f>4882846+454500+25000</f>
        <v>5362346</v>
      </c>
      <c r="E25" s="168">
        <v>5006432</v>
      </c>
      <c r="F25" s="168">
        <v>5006432</v>
      </c>
      <c r="G25" s="145">
        <f>E25</f>
        <v>5006432</v>
      </c>
      <c r="H25" s="56">
        <f>G25</f>
        <v>5006432</v>
      </c>
      <c r="I25" s="56">
        <f>H25</f>
        <v>5006432</v>
      </c>
      <c r="J25" s="56">
        <f>I25</f>
        <v>5006432</v>
      </c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s="42" customFormat="1" ht="12.75" customHeight="1" x14ac:dyDescent="0.2">
      <c r="A26" s="57" t="s">
        <v>17</v>
      </c>
      <c r="B26" s="58"/>
      <c r="C26" s="58"/>
      <c r="D26" s="59">
        <f>SUM(D17:D25)</f>
        <v>106441856</v>
      </c>
      <c r="E26" s="59">
        <f t="shared" ref="E26:J26" si="5">SUM(E20:E25)</f>
        <v>114016532</v>
      </c>
      <c r="F26" s="59">
        <f t="shared" si="5"/>
        <v>113506642</v>
      </c>
      <c r="G26" s="60">
        <f t="shared" si="5"/>
        <v>117555642</v>
      </c>
      <c r="H26" s="60">
        <f t="shared" si="5"/>
        <v>121536642</v>
      </c>
      <c r="I26" s="60">
        <f t="shared" si="5"/>
        <v>125587642</v>
      </c>
      <c r="J26" s="60">
        <f t="shared" si="5"/>
        <v>129704642</v>
      </c>
      <c r="K26" s="127"/>
      <c r="L26" s="127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0" s="42" customFormat="1" ht="12.75" customHeight="1" x14ac:dyDescent="0.2">
      <c r="A27" s="61" t="s">
        <v>18</v>
      </c>
      <c r="B27" s="62"/>
      <c r="C27" s="62"/>
      <c r="D27" s="75">
        <v>114220856</v>
      </c>
      <c r="E27" s="169">
        <v>112355442</v>
      </c>
      <c r="F27" s="169">
        <v>112355442</v>
      </c>
      <c r="G27" s="146">
        <f>F49</f>
        <v>114213342</v>
      </c>
      <c r="H27" s="63">
        <f>G49</f>
        <v>117793042</v>
      </c>
      <c r="I27" s="63">
        <f>H49</f>
        <v>121264982</v>
      </c>
      <c r="J27" s="63">
        <f>I49</f>
        <v>125075115</v>
      </c>
      <c r="K27" s="53"/>
      <c r="IG27" s="43"/>
      <c r="IH27" s="43"/>
      <c r="II27" s="43"/>
      <c r="IJ27" s="43"/>
      <c r="IK27" s="43"/>
      <c r="IL27" s="43"/>
      <c r="IM27" s="43"/>
      <c r="IN27" s="43"/>
      <c r="IO27" s="43"/>
      <c r="IP27" s="43"/>
    </row>
    <row r="28" spans="1:250" s="42" customFormat="1" ht="12.75" customHeight="1" thickBot="1" x14ac:dyDescent="0.25">
      <c r="A28" s="20" t="s">
        <v>101</v>
      </c>
      <c r="B28" s="21"/>
      <c r="C28" s="21"/>
      <c r="D28" s="64">
        <f t="shared" ref="D28:J28" si="6">D26-D27</f>
        <v>-7779000</v>
      </c>
      <c r="E28" s="170">
        <f t="shared" si="6"/>
        <v>1661090</v>
      </c>
      <c r="F28" s="170">
        <f t="shared" si="6"/>
        <v>1151200</v>
      </c>
      <c r="G28" s="147">
        <f t="shared" si="6"/>
        <v>3342300</v>
      </c>
      <c r="H28" s="65">
        <f t="shared" si="6"/>
        <v>3743600</v>
      </c>
      <c r="I28" s="65">
        <f t="shared" si="6"/>
        <v>4322660</v>
      </c>
      <c r="J28" s="65">
        <f t="shared" si="6"/>
        <v>4629527</v>
      </c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42" customFormat="1" ht="12.75" customHeight="1" thickTop="1" x14ac:dyDescent="0.2">
      <c r="A29" s="20"/>
      <c r="B29" s="21"/>
      <c r="C29" s="21"/>
      <c r="D29" s="66"/>
      <c r="E29" s="171"/>
      <c r="F29" s="171"/>
      <c r="G29" s="148"/>
      <c r="H29" s="67"/>
      <c r="I29" s="67"/>
      <c r="J29" s="67"/>
      <c r="K29" s="68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69" customFormat="1" ht="12.75" customHeight="1" x14ac:dyDescent="0.2">
      <c r="A30" s="20" t="s">
        <v>19</v>
      </c>
      <c r="B30" s="21"/>
      <c r="C30" s="21"/>
      <c r="D30" s="50"/>
      <c r="E30" s="167"/>
      <c r="F30" s="167"/>
      <c r="G30" s="139"/>
      <c r="H30" s="51"/>
      <c r="I30" s="51"/>
      <c r="J30" s="51"/>
    </row>
    <row r="31" spans="1:250" s="42" customFormat="1" ht="12.75" customHeight="1" x14ac:dyDescent="0.2">
      <c r="A31" s="47" t="s">
        <v>20</v>
      </c>
      <c r="B31" s="48"/>
      <c r="C31" s="48"/>
      <c r="D31" s="50"/>
      <c r="E31" s="167">
        <v>148000</v>
      </c>
      <c r="F31" s="167">
        <v>148000</v>
      </c>
      <c r="G31" s="139">
        <f>G24-E24</f>
        <v>59000</v>
      </c>
      <c r="H31" s="51">
        <f>H24-G24</f>
        <v>30000</v>
      </c>
      <c r="I31" s="51">
        <f>I24-H24</f>
        <v>29000</v>
      </c>
      <c r="J31" s="51">
        <f>J24-I24</f>
        <v>24000</v>
      </c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s="69" customFormat="1" ht="12.75" customHeight="1" x14ac:dyDescent="0.2">
      <c r="A32" s="70" t="s">
        <v>49</v>
      </c>
      <c r="B32" s="48"/>
      <c r="C32" s="48"/>
      <c r="D32" s="50"/>
      <c r="E32" s="167">
        <v>0</v>
      </c>
      <c r="F32" s="167">
        <v>-557100</v>
      </c>
      <c r="G32" s="139">
        <f>ROUND((G22-E22)/3,-3)</f>
        <v>162000</v>
      </c>
      <c r="H32" s="51">
        <f>ROUND((H22-G22)/3,-3)</f>
        <v>145000</v>
      </c>
      <c r="I32" s="51">
        <f>ROUND((I22-H22)/3,-3)</f>
        <v>137000</v>
      </c>
      <c r="J32" s="51">
        <f>ROUND((J22-I22)/3,-3)</f>
        <v>116000</v>
      </c>
    </row>
    <row r="33" spans="1:250" s="69" customFormat="1" ht="12.75" customHeight="1" x14ac:dyDescent="0.2">
      <c r="A33" s="47" t="s">
        <v>21</v>
      </c>
      <c r="B33" s="48"/>
      <c r="C33" s="48"/>
      <c r="D33" s="50"/>
      <c r="E33" s="167">
        <v>1002000</v>
      </c>
      <c r="F33" s="167">
        <v>1002000</v>
      </c>
      <c r="G33" s="139">
        <f>540000/12*7</f>
        <v>315000</v>
      </c>
      <c r="H33" s="51">
        <v>550000</v>
      </c>
      <c r="I33" s="51">
        <v>560000</v>
      </c>
      <c r="J33" s="51">
        <v>560000</v>
      </c>
    </row>
    <row r="34" spans="1:250" s="69" customFormat="1" ht="12.75" customHeight="1" x14ac:dyDescent="0.2">
      <c r="A34" s="70" t="s">
        <v>22</v>
      </c>
      <c r="B34" s="48"/>
      <c r="C34" s="48"/>
      <c r="D34" s="50"/>
      <c r="E34" s="167">
        <v>1160000</v>
      </c>
      <c r="F34" s="167">
        <v>1160000</v>
      </c>
      <c r="G34" s="139">
        <v>350000</v>
      </c>
      <c r="H34" s="51">
        <v>630000</v>
      </c>
      <c r="I34" s="51">
        <v>665000</v>
      </c>
      <c r="J34" s="51">
        <v>700000</v>
      </c>
    </row>
    <row r="35" spans="1:250" s="69" customFormat="1" ht="12.75" customHeight="1" x14ac:dyDescent="0.2">
      <c r="A35" s="70" t="s">
        <v>50</v>
      </c>
      <c r="B35" s="48"/>
      <c r="C35" s="48"/>
      <c r="D35" s="50"/>
      <c r="E35" s="167">
        <v>0</v>
      </c>
      <c r="F35" s="167">
        <v>0</v>
      </c>
      <c r="G35" s="139">
        <v>750000</v>
      </c>
      <c r="H35" s="51">
        <v>750000</v>
      </c>
      <c r="I35" s="51">
        <v>750000</v>
      </c>
      <c r="J35" s="51">
        <v>750000</v>
      </c>
    </row>
    <row r="36" spans="1:250" s="69" customFormat="1" ht="12.75" customHeight="1" x14ac:dyDescent="0.2">
      <c r="A36" s="70" t="s">
        <v>51</v>
      </c>
      <c r="B36" s="21"/>
      <c r="C36" s="21"/>
      <c r="D36" s="50"/>
      <c r="E36" s="167">
        <v>0</v>
      </c>
      <c r="F36" s="167">
        <v>0</v>
      </c>
      <c r="G36" s="139">
        <v>100000</v>
      </c>
      <c r="H36" s="51">
        <v>100000</v>
      </c>
      <c r="I36" s="51">
        <v>100000</v>
      </c>
      <c r="J36" s="51">
        <v>100000</v>
      </c>
    </row>
    <row r="37" spans="1:250" s="69" customFormat="1" ht="12.75" customHeight="1" x14ac:dyDescent="0.2">
      <c r="A37" s="70" t="s">
        <v>88</v>
      </c>
      <c r="B37" s="21"/>
      <c r="C37" s="21"/>
      <c r="D37" s="50"/>
      <c r="E37" s="167"/>
      <c r="F37" s="167"/>
      <c r="G37" s="139">
        <f>G16</f>
        <v>370000</v>
      </c>
      <c r="H37" s="51">
        <f>H16</f>
        <v>311000</v>
      </c>
      <c r="I37" s="51">
        <f>I16</f>
        <v>323000</v>
      </c>
      <c r="J37" s="51">
        <f>J16</f>
        <v>336000</v>
      </c>
    </row>
    <row r="38" spans="1:250" s="69" customFormat="1" ht="12.75" customHeight="1" x14ac:dyDescent="0.2">
      <c r="A38" s="70" t="s">
        <v>67</v>
      </c>
      <c r="B38" s="21"/>
      <c r="C38" s="21"/>
      <c r="D38" s="50"/>
      <c r="E38" s="167"/>
      <c r="F38" s="167"/>
      <c r="G38" s="139"/>
      <c r="H38" s="182">
        <v>-300000</v>
      </c>
      <c r="I38" s="182">
        <v>-1200000</v>
      </c>
      <c r="J38" s="182">
        <v>-900000</v>
      </c>
    </row>
    <row r="39" spans="1:250" s="69" customFormat="1" ht="12.75" customHeight="1" x14ac:dyDescent="0.2">
      <c r="A39" s="70" t="s">
        <v>68</v>
      </c>
      <c r="B39" s="21"/>
      <c r="C39" s="21"/>
      <c r="D39" s="50"/>
      <c r="E39" s="167"/>
      <c r="F39" s="167"/>
      <c r="G39" s="139"/>
      <c r="H39" s="182"/>
      <c r="I39" s="182">
        <v>-497000</v>
      </c>
      <c r="J39" s="182"/>
    </row>
    <row r="40" spans="1:250" s="92" customFormat="1" ht="12.75" customHeight="1" x14ac:dyDescent="0.2">
      <c r="A40" s="117" t="s">
        <v>54</v>
      </c>
      <c r="B40" s="96"/>
      <c r="C40" s="96"/>
      <c r="D40" s="95"/>
      <c r="E40" s="105">
        <v>67000</v>
      </c>
      <c r="F40" s="105">
        <v>67000</v>
      </c>
      <c r="G40" s="128"/>
      <c r="H40" s="90"/>
      <c r="I40" s="90"/>
      <c r="J40" s="90"/>
      <c r="K40" s="54"/>
      <c r="L40" s="91"/>
      <c r="M40" s="54"/>
      <c r="N40" s="91"/>
      <c r="O40" s="54"/>
      <c r="P40" s="54"/>
    </row>
    <row r="41" spans="1:250" s="92" customFormat="1" ht="12.75" customHeight="1" x14ac:dyDescent="0.2">
      <c r="A41" s="117" t="s">
        <v>26</v>
      </c>
      <c r="B41" s="96"/>
      <c r="C41" s="96"/>
      <c r="D41" s="95"/>
      <c r="E41" s="105">
        <v>38000</v>
      </c>
      <c r="F41" s="105">
        <v>38000</v>
      </c>
      <c r="G41" s="232"/>
      <c r="H41" s="90"/>
      <c r="I41" s="90"/>
      <c r="J41" s="90"/>
      <c r="K41" s="54"/>
      <c r="L41" s="91"/>
      <c r="M41" s="54"/>
      <c r="N41" s="91"/>
      <c r="O41" s="54"/>
      <c r="P41" s="54"/>
    </row>
    <row r="42" spans="1:250" s="69" customFormat="1" ht="12.75" customHeight="1" x14ac:dyDescent="0.2">
      <c r="A42" s="178" t="s">
        <v>107</v>
      </c>
      <c r="B42" s="179"/>
      <c r="C42" s="179"/>
      <c r="D42" s="180"/>
      <c r="E42" s="181"/>
      <c r="F42" s="181"/>
      <c r="G42" s="157">
        <f>405700</f>
        <v>405700</v>
      </c>
      <c r="H42" s="156">
        <v>297863</v>
      </c>
      <c r="I42" s="156">
        <v>443133</v>
      </c>
      <c r="J42" s="156">
        <v>253357</v>
      </c>
    </row>
    <row r="43" spans="1:250" s="69" customFormat="1" ht="12.75" customHeight="1" x14ac:dyDescent="0.2">
      <c r="A43" s="178" t="s">
        <v>90</v>
      </c>
      <c r="B43" s="179"/>
      <c r="C43" s="179"/>
      <c r="D43" s="180"/>
      <c r="E43" s="181"/>
      <c r="F43" s="181"/>
      <c r="G43" s="157">
        <f>768000</f>
        <v>768000</v>
      </c>
      <c r="H43" s="156"/>
      <c r="I43" s="156"/>
      <c r="J43" s="156"/>
    </row>
    <row r="44" spans="1:250" s="69" customFormat="1" ht="12.75" customHeight="1" x14ac:dyDescent="0.2">
      <c r="A44" s="178" t="s">
        <v>109</v>
      </c>
      <c r="B44" s="179"/>
      <c r="C44" s="179"/>
      <c r="D44" s="180"/>
      <c r="E44" s="181"/>
      <c r="F44" s="181"/>
      <c r="G44" s="157"/>
      <c r="H44" s="157">
        <v>500000</v>
      </c>
      <c r="I44" s="156">
        <v>500000</v>
      </c>
      <c r="J44" s="156">
        <v>500000</v>
      </c>
    </row>
    <row r="45" spans="1:250" s="69" customFormat="1" ht="12.75" customHeight="1" x14ac:dyDescent="0.2">
      <c r="A45" s="235" t="s">
        <v>86</v>
      </c>
      <c r="B45" s="236"/>
      <c r="C45" s="236"/>
      <c r="D45" s="237"/>
      <c r="E45" s="238"/>
      <c r="F45" s="238"/>
      <c r="G45" s="239">
        <v>300000</v>
      </c>
      <c r="H45" s="240">
        <v>100000</v>
      </c>
      <c r="I45" s="240">
        <v>1000000</v>
      </c>
      <c r="J45" s="240">
        <v>1000000</v>
      </c>
    </row>
    <row r="46" spans="1:250" s="69" customFormat="1" ht="12.75" customHeight="1" x14ac:dyDescent="0.2">
      <c r="A46" s="235" t="s">
        <v>114</v>
      </c>
      <c r="B46" s="236"/>
      <c r="C46" s="236"/>
      <c r="D46" s="237"/>
      <c r="E46" s="238"/>
      <c r="F46" s="238"/>
      <c r="G46" s="239"/>
      <c r="H46" s="240">
        <f>357437+640</f>
        <v>358077</v>
      </c>
      <c r="I46" s="240"/>
      <c r="J46" s="240"/>
    </row>
    <row r="47" spans="1:250" s="69" customFormat="1" ht="12.75" customHeight="1" x14ac:dyDescent="0.2">
      <c r="A47" s="235" t="s">
        <v>115</v>
      </c>
      <c r="B47" s="236"/>
      <c r="C47" s="236"/>
      <c r="D47" s="237"/>
      <c r="E47" s="238"/>
      <c r="F47" s="238"/>
      <c r="G47" s="239"/>
      <c r="H47" s="240"/>
      <c r="I47" s="240">
        <f>1000000</f>
        <v>1000000</v>
      </c>
      <c r="J47" s="240"/>
    </row>
    <row r="48" spans="1:250" s="42" customFormat="1" ht="12.75" customHeight="1" x14ac:dyDescent="0.2">
      <c r="A48" s="20" t="s">
        <v>23</v>
      </c>
      <c r="B48" s="21"/>
      <c r="C48" s="21"/>
      <c r="D48" s="71">
        <f>SUM(D32:D41)</f>
        <v>0</v>
      </c>
      <c r="E48" s="172">
        <f>SUM(E31:E41)</f>
        <v>2415000</v>
      </c>
      <c r="F48" s="172">
        <f>SUM(F31:F47)</f>
        <v>1857900</v>
      </c>
      <c r="G48" s="72">
        <f t="shared" ref="G48:J48" si="7">SUM(G31:G47)</f>
        <v>3579700</v>
      </c>
      <c r="H48" s="72">
        <f t="shared" si="7"/>
        <v>3471940</v>
      </c>
      <c r="I48" s="72">
        <f t="shared" si="7"/>
        <v>3810133</v>
      </c>
      <c r="J48" s="72">
        <f t="shared" si="7"/>
        <v>3439357</v>
      </c>
      <c r="IG48" s="43"/>
      <c r="IH48" s="43"/>
      <c r="II48" s="43"/>
      <c r="IJ48" s="43"/>
      <c r="IK48" s="43"/>
      <c r="IL48" s="43"/>
      <c r="IM48" s="43"/>
      <c r="IN48" s="43"/>
      <c r="IO48" s="43"/>
      <c r="IP48" s="43"/>
    </row>
    <row r="49" spans="1:250" s="69" customFormat="1" ht="12.75" customHeight="1" x14ac:dyDescent="0.2">
      <c r="A49" s="73" t="s">
        <v>45</v>
      </c>
      <c r="B49" s="74"/>
      <c r="C49" s="74"/>
      <c r="D49" s="75">
        <v>114220856</v>
      </c>
      <c r="E49" s="173">
        <f t="shared" ref="E49:J49" si="8">E27+E48</f>
        <v>114770442</v>
      </c>
      <c r="F49" s="173">
        <f t="shared" si="8"/>
        <v>114213342</v>
      </c>
      <c r="G49" s="150">
        <f t="shared" si="8"/>
        <v>117793042</v>
      </c>
      <c r="H49" s="76">
        <f t="shared" si="8"/>
        <v>121264982</v>
      </c>
      <c r="I49" s="76">
        <f t="shared" si="8"/>
        <v>125075115</v>
      </c>
      <c r="J49" s="76">
        <f t="shared" si="8"/>
        <v>128514472</v>
      </c>
      <c r="K49" s="42"/>
      <c r="L49" s="42"/>
      <c r="M49" s="42"/>
      <c r="N49" s="42"/>
      <c r="O49" s="42"/>
      <c r="P49" s="42"/>
    </row>
    <row r="50" spans="1:250" s="42" customFormat="1" ht="12.75" customHeight="1" x14ac:dyDescent="0.2">
      <c r="A50" s="77"/>
      <c r="B50" s="78"/>
      <c r="C50" s="78"/>
      <c r="D50" s="79"/>
      <c r="E50" s="174"/>
      <c r="F50" s="174"/>
      <c r="G50" s="151"/>
      <c r="H50" s="80"/>
      <c r="I50" s="80"/>
      <c r="J50" s="80"/>
      <c r="IG50" s="43"/>
      <c r="IH50" s="43"/>
      <c r="II50" s="43"/>
      <c r="IJ50" s="43"/>
      <c r="IK50" s="43"/>
      <c r="IL50" s="43"/>
      <c r="IM50" s="43"/>
      <c r="IN50" s="43"/>
      <c r="IO50" s="43"/>
      <c r="IP50" s="43"/>
    </row>
    <row r="51" spans="1:250" s="69" customFormat="1" ht="12.75" customHeight="1" thickBot="1" x14ac:dyDescent="0.25">
      <c r="A51" s="81" t="s">
        <v>24</v>
      </c>
      <c r="B51" s="82"/>
      <c r="C51" s="82"/>
      <c r="D51" s="83">
        <f t="shared" ref="D51:J51" si="9">D26-D49</f>
        <v>-7779000</v>
      </c>
      <c r="E51" s="175">
        <f t="shared" si="9"/>
        <v>-753910</v>
      </c>
      <c r="F51" s="175">
        <f t="shared" si="9"/>
        <v>-706700</v>
      </c>
      <c r="G51" s="84">
        <f t="shared" si="9"/>
        <v>-237400</v>
      </c>
      <c r="H51" s="84">
        <f t="shared" si="9"/>
        <v>271660</v>
      </c>
      <c r="I51" s="84">
        <f t="shared" si="9"/>
        <v>512527</v>
      </c>
      <c r="J51" s="84">
        <f t="shared" si="9"/>
        <v>1190170</v>
      </c>
      <c r="K51" s="42"/>
      <c r="L51" s="85"/>
      <c r="M51" s="42"/>
      <c r="N51" s="42"/>
      <c r="O51" s="42"/>
      <c r="P51" s="42"/>
    </row>
    <row r="52" spans="1:250" s="92" customFormat="1" ht="12.75" customHeight="1" thickTop="1" x14ac:dyDescent="0.2">
      <c r="A52" s="86"/>
      <c r="B52" s="87"/>
      <c r="C52" s="88"/>
      <c r="D52" s="89"/>
      <c r="E52" s="105"/>
      <c r="F52" s="214"/>
      <c r="G52" s="129"/>
      <c r="H52" s="90"/>
      <c r="I52" s="90"/>
      <c r="J52" s="90"/>
      <c r="K52" s="91"/>
      <c r="L52" s="54"/>
      <c r="M52" s="91"/>
      <c r="N52" s="54"/>
      <c r="O52" s="54"/>
    </row>
    <row r="53" spans="1:250" s="69" customFormat="1" ht="12.75" customHeight="1" x14ac:dyDescent="0.2">
      <c r="A53" s="93" t="s">
        <v>59</v>
      </c>
      <c r="B53" s="87"/>
      <c r="C53" s="87"/>
      <c r="D53" s="95"/>
      <c r="E53" s="105"/>
      <c r="F53" s="214"/>
      <c r="G53" s="129"/>
      <c r="H53" s="90"/>
      <c r="I53" s="90"/>
      <c r="J53" s="90"/>
      <c r="K53" s="42"/>
      <c r="L53" s="68"/>
      <c r="M53" s="42"/>
      <c r="N53" s="68"/>
      <c r="O53" s="42"/>
      <c r="P53" s="42"/>
    </row>
    <row r="54" spans="1:250" s="92" customFormat="1" ht="12.75" customHeight="1" x14ac:dyDescent="0.2">
      <c r="A54" s="241" t="s">
        <v>25</v>
      </c>
      <c r="B54" s="242"/>
      <c r="C54" s="242"/>
      <c r="D54" s="243"/>
      <c r="E54" s="244">
        <v>300000</v>
      </c>
      <c r="F54" s="244">
        <v>300000</v>
      </c>
      <c r="G54" s="245" t="s">
        <v>106</v>
      </c>
      <c r="H54" s="245"/>
      <c r="I54" s="245"/>
      <c r="J54" s="245"/>
      <c r="K54" s="54"/>
      <c r="L54" s="91"/>
      <c r="M54" s="54"/>
      <c r="N54" s="91"/>
      <c r="O54" s="54"/>
      <c r="P54" s="54"/>
    </row>
    <row r="55" spans="1:250" s="92" customFormat="1" ht="12.75" hidden="1" customHeight="1" x14ac:dyDescent="0.2">
      <c r="A55" s="241"/>
      <c r="B55" s="242"/>
      <c r="C55" s="242"/>
      <c r="D55" s="243"/>
      <c r="E55" s="244"/>
      <c r="F55" s="244"/>
      <c r="G55" s="245"/>
      <c r="H55" s="245"/>
      <c r="I55" s="245"/>
      <c r="J55" s="245"/>
      <c r="K55" s="54"/>
      <c r="L55" s="91"/>
      <c r="M55" s="54"/>
      <c r="N55" s="91"/>
      <c r="O55" s="54"/>
      <c r="P55" s="54"/>
    </row>
    <row r="56" spans="1:250" s="92" customFormat="1" ht="12.75" customHeight="1" x14ac:dyDescent="0.2">
      <c r="A56" s="241" t="s">
        <v>28</v>
      </c>
      <c r="B56" s="242"/>
      <c r="C56" s="242"/>
      <c r="D56" s="243"/>
      <c r="E56" s="244">
        <v>300000</v>
      </c>
      <c r="F56" s="244">
        <v>300000</v>
      </c>
      <c r="G56" s="245">
        <v>200000</v>
      </c>
      <c r="H56" s="245"/>
      <c r="I56" s="245"/>
      <c r="J56" s="245"/>
      <c r="K56" s="54"/>
      <c r="L56" s="91"/>
      <c r="M56" s="54"/>
      <c r="N56" s="91"/>
      <c r="O56" s="54"/>
      <c r="P56" s="54"/>
    </row>
    <row r="57" spans="1:250" s="92" customFormat="1" ht="12.75" customHeight="1" x14ac:dyDescent="0.2">
      <c r="A57" s="241" t="s">
        <v>42</v>
      </c>
      <c r="B57" s="242"/>
      <c r="C57" s="242"/>
      <c r="D57" s="243"/>
      <c r="E57" s="244">
        <v>115000</v>
      </c>
      <c r="F57" s="244">
        <v>115000</v>
      </c>
      <c r="G57" s="245">
        <v>100000</v>
      </c>
      <c r="H57" s="245"/>
      <c r="I57" s="245"/>
      <c r="J57" s="245"/>
      <c r="K57" s="54"/>
      <c r="L57" s="91"/>
      <c r="M57" s="54"/>
      <c r="N57" s="91"/>
      <c r="O57" s="54"/>
      <c r="P57" s="54"/>
    </row>
    <row r="58" spans="1:250" s="92" customFormat="1" ht="12.75" customHeight="1" x14ac:dyDescent="0.2">
      <c r="A58" s="208" t="s">
        <v>108</v>
      </c>
      <c r="B58" s="204"/>
      <c r="C58" s="204"/>
      <c r="D58" s="205"/>
      <c r="E58" s="206">
        <v>500000</v>
      </c>
      <c r="F58" s="206">
        <v>500000</v>
      </c>
      <c r="G58" s="207">
        <v>228310</v>
      </c>
      <c r="H58" s="207">
        <v>271660</v>
      </c>
      <c r="I58" s="207">
        <f>260100-260100</f>
        <v>0</v>
      </c>
      <c r="J58" s="207">
        <f>216750-216750</f>
        <v>0</v>
      </c>
      <c r="K58" s="54"/>
      <c r="L58" s="91"/>
      <c r="M58" s="54"/>
      <c r="N58" s="91"/>
      <c r="O58" s="54"/>
      <c r="P58" s="54"/>
    </row>
    <row r="59" spans="1:250" s="92" customFormat="1" ht="12.75" customHeight="1" x14ac:dyDescent="0.2">
      <c r="A59" s="241" t="s">
        <v>29</v>
      </c>
      <c r="B59" s="242"/>
      <c r="C59" s="242"/>
      <c r="D59" s="243"/>
      <c r="E59" s="244">
        <v>406000</v>
      </c>
      <c r="F59" s="244">
        <v>406000</v>
      </c>
      <c r="G59" s="245"/>
      <c r="H59" s="245"/>
      <c r="I59" s="245"/>
      <c r="J59" s="245"/>
      <c r="K59" s="54"/>
      <c r="L59" s="91"/>
      <c r="M59" s="54"/>
      <c r="N59" s="91"/>
      <c r="O59" s="54"/>
      <c r="P59" s="54"/>
    </row>
    <row r="60" spans="1:250" s="92" customFormat="1" ht="12.75" customHeight="1" x14ac:dyDescent="0.2">
      <c r="A60" s="234" t="s">
        <v>113</v>
      </c>
      <c r="B60" s="242"/>
      <c r="C60" s="242"/>
      <c r="D60" s="243"/>
      <c r="E60" s="244"/>
      <c r="F60" s="244"/>
      <c r="G60" s="245">
        <v>160000</v>
      </c>
      <c r="H60" s="245"/>
      <c r="I60" s="245"/>
      <c r="J60" s="245"/>
      <c r="K60" s="54"/>
      <c r="L60" s="91"/>
      <c r="M60" s="54"/>
      <c r="N60" s="91"/>
      <c r="O60" s="54"/>
      <c r="P60" s="54"/>
    </row>
    <row r="61" spans="1:250" s="92" customFormat="1" ht="12.75" customHeight="1" x14ac:dyDescent="0.2">
      <c r="A61" s="86"/>
      <c r="B61" s="96"/>
      <c r="C61" s="96"/>
      <c r="D61" s="95"/>
      <c r="E61" s="105"/>
      <c r="F61" s="105"/>
      <c r="G61" s="129"/>
      <c r="H61" s="90"/>
      <c r="I61" s="90"/>
      <c r="J61" s="90"/>
      <c r="K61" s="54"/>
      <c r="L61" s="91"/>
      <c r="M61" s="54"/>
      <c r="N61" s="91"/>
      <c r="O61" s="54"/>
      <c r="P61" s="54"/>
    </row>
    <row r="62" spans="1:250" s="69" customFormat="1" ht="12.75" customHeight="1" x14ac:dyDescent="0.2">
      <c r="A62" s="93" t="s">
        <v>60</v>
      </c>
      <c r="B62" s="87"/>
      <c r="C62" s="87"/>
      <c r="D62" s="97"/>
      <c r="E62" s="176">
        <f t="shared" ref="E62:J62" si="10">SUM(E54:E61)</f>
        <v>1621000</v>
      </c>
      <c r="F62" s="176">
        <f t="shared" si="10"/>
        <v>1621000</v>
      </c>
      <c r="G62" s="152">
        <f t="shared" si="10"/>
        <v>688310</v>
      </c>
      <c r="H62" s="98">
        <f t="shared" si="10"/>
        <v>271660</v>
      </c>
      <c r="I62" s="98">
        <f t="shared" si="10"/>
        <v>0</v>
      </c>
      <c r="J62" s="98">
        <f t="shared" si="10"/>
        <v>0</v>
      </c>
      <c r="K62" s="99"/>
      <c r="L62" s="100"/>
      <c r="M62" s="99"/>
      <c r="N62" s="100"/>
      <c r="O62" s="99"/>
      <c r="P62" s="99"/>
    </row>
    <row r="63" spans="1:250" s="69" customFormat="1" ht="12.75" customHeight="1" x14ac:dyDescent="0.2">
      <c r="A63" s="93"/>
      <c r="B63" s="87"/>
      <c r="C63" s="87"/>
      <c r="D63" s="95"/>
      <c r="E63" s="105"/>
      <c r="F63" s="105"/>
      <c r="G63" s="129"/>
      <c r="H63" s="90"/>
      <c r="I63" s="90"/>
      <c r="J63" s="90"/>
      <c r="K63" s="42"/>
      <c r="L63" s="68"/>
      <c r="M63" s="42"/>
      <c r="N63" s="68"/>
      <c r="O63" s="42"/>
      <c r="P63" s="42"/>
    </row>
    <row r="64" spans="1:250" s="42" customFormat="1" ht="12.75" customHeight="1" thickBot="1" x14ac:dyDescent="0.25">
      <c r="A64" s="101" t="s">
        <v>30</v>
      </c>
      <c r="B64" s="102"/>
      <c r="C64" s="102"/>
      <c r="D64" s="103">
        <f t="shared" ref="D64:J64" si="11">D51-D62</f>
        <v>-7779000</v>
      </c>
      <c r="E64" s="103">
        <f t="shared" si="11"/>
        <v>-2374910</v>
      </c>
      <c r="F64" s="103">
        <f t="shared" si="11"/>
        <v>-2327700</v>
      </c>
      <c r="G64" s="153">
        <f t="shared" si="11"/>
        <v>-925710</v>
      </c>
      <c r="H64" s="104">
        <f t="shared" si="11"/>
        <v>0</v>
      </c>
      <c r="I64" s="104">
        <f t="shared" si="11"/>
        <v>512527</v>
      </c>
      <c r="J64" s="104">
        <f t="shared" si="11"/>
        <v>1190170</v>
      </c>
      <c r="IG64" s="43"/>
      <c r="IH64" s="43"/>
      <c r="II64" s="43"/>
      <c r="IJ64" s="43"/>
      <c r="IK64" s="43"/>
      <c r="IL64" s="43"/>
      <c r="IM64" s="43"/>
      <c r="IN64" s="43"/>
      <c r="IO64" s="43"/>
      <c r="IP64" s="43"/>
    </row>
    <row r="65" spans="1:250" s="92" customFormat="1" ht="12.75" customHeight="1" thickTop="1" x14ac:dyDescent="0.2">
      <c r="A65" s="86"/>
      <c r="B65" s="87"/>
      <c r="C65" s="94"/>
      <c r="D65" s="105"/>
      <c r="E65" s="105"/>
      <c r="F65" s="105"/>
      <c r="G65" s="129"/>
      <c r="H65" s="90"/>
      <c r="I65" s="90"/>
      <c r="J65" s="90"/>
      <c r="K65" s="91"/>
      <c r="L65" s="54"/>
      <c r="M65" s="91"/>
      <c r="N65" s="54"/>
      <c r="O65" s="54"/>
    </row>
    <row r="66" spans="1:250" s="92" customFormat="1" ht="12.75" customHeight="1" x14ac:dyDescent="0.2">
      <c r="A66" s="86" t="s">
        <v>52</v>
      </c>
      <c r="B66" s="87"/>
      <c r="C66" s="94"/>
      <c r="D66" s="105"/>
      <c r="E66" s="105">
        <v>10331928</v>
      </c>
      <c r="F66" s="105">
        <v>9145975</v>
      </c>
      <c r="G66" s="129">
        <f>F67+300000</f>
        <v>7118275</v>
      </c>
      <c r="H66" s="90">
        <f>G67</f>
        <v>6192565</v>
      </c>
      <c r="I66" s="90">
        <f>H67</f>
        <v>6192565</v>
      </c>
      <c r="J66" s="90">
        <f>I67</f>
        <v>6705092</v>
      </c>
      <c r="K66" s="91"/>
      <c r="L66" s="54"/>
      <c r="M66" s="91"/>
      <c r="N66" s="54"/>
      <c r="O66" s="54"/>
    </row>
    <row r="67" spans="1:250" s="92" customFormat="1" ht="12.75" customHeight="1" thickBot="1" x14ac:dyDescent="0.25">
      <c r="A67" s="106" t="s">
        <v>95</v>
      </c>
      <c r="B67" s="107"/>
      <c r="C67" s="108"/>
      <c r="D67" s="109"/>
      <c r="E67" s="109">
        <f t="shared" ref="E67:J67" si="12">E64+E66</f>
        <v>7957018</v>
      </c>
      <c r="F67" s="109">
        <f t="shared" si="12"/>
        <v>6818275</v>
      </c>
      <c r="G67" s="110">
        <f t="shared" si="12"/>
        <v>6192565</v>
      </c>
      <c r="H67" s="110">
        <f t="shared" si="12"/>
        <v>6192565</v>
      </c>
      <c r="I67" s="110">
        <f t="shared" si="12"/>
        <v>6705092</v>
      </c>
      <c r="J67" s="110">
        <f t="shared" si="12"/>
        <v>7895262</v>
      </c>
      <c r="K67" s="91"/>
      <c r="L67" s="54"/>
      <c r="M67" s="91"/>
      <c r="N67" s="54"/>
      <c r="O67" s="54"/>
    </row>
    <row r="68" spans="1:250" s="69" customFormat="1" ht="15.75" thickTop="1" x14ac:dyDescent="0.2">
      <c r="A68" s="111" t="s">
        <v>96</v>
      </c>
      <c r="B68" s="111"/>
      <c r="C68" s="111"/>
      <c r="D68" s="112"/>
      <c r="E68" s="215">
        <f>E67/E49</f>
        <v>6.9329854109998118E-2</v>
      </c>
      <c r="F68" s="215">
        <f>F67/F49</f>
        <v>5.9697710272763056E-2</v>
      </c>
      <c r="G68" s="216">
        <f t="shared" ref="G68:J68" si="13">G67/G49</f>
        <v>5.2571568700976415E-2</v>
      </c>
      <c r="H68" s="216">
        <f t="shared" si="13"/>
        <v>5.1066391120232882E-2</v>
      </c>
      <c r="I68" s="216">
        <f t="shared" si="13"/>
        <v>5.3608521567219826E-2</v>
      </c>
      <c r="J68" s="216">
        <f t="shared" si="13"/>
        <v>6.1434808680535219E-2</v>
      </c>
      <c r="K68" s="42"/>
      <c r="L68" s="85"/>
      <c r="M68" s="42"/>
      <c r="N68" s="42"/>
      <c r="O68" s="42"/>
      <c r="P68" s="42"/>
    </row>
    <row r="69" spans="1:250" s="69" customFormat="1" ht="15" x14ac:dyDescent="0.2">
      <c r="A69" s="21" t="s">
        <v>97</v>
      </c>
      <c r="B69" s="21"/>
      <c r="C69" s="21"/>
      <c r="D69" s="197"/>
      <c r="E69" s="217">
        <f>E49*0.05</f>
        <v>5738522.1000000006</v>
      </c>
      <c r="F69" s="217">
        <f>F49*0.05</f>
        <v>5710667.1000000006</v>
      </c>
      <c r="G69" s="218">
        <f>G49*0.05</f>
        <v>5889652.1000000006</v>
      </c>
      <c r="H69" s="218">
        <f t="shared" ref="H69:J69" si="14">H49*0.05</f>
        <v>6063249.1000000006</v>
      </c>
      <c r="I69" s="218">
        <f t="shared" si="14"/>
        <v>6253755.75</v>
      </c>
      <c r="J69" s="218">
        <f t="shared" si="14"/>
        <v>6425723.6000000006</v>
      </c>
      <c r="K69" s="42"/>
      <c r="L69" s="85"/>
      <c r="M69" s="42"/>
      <c r="N69" s="42"/>
      <c r="O69" s="42"/>
      <c r="P69" s="42"/>
    </row>
    <row r="70" spans="1:250" s="69" customFormat="1" ht="15" x14ac:dyDescent="0.2">
      <c r="A70" s="199" t="s">
        <v>98</v>
      </c>
      <c r="B70" s="199"/>
      <c r="C70" s="199"/>
      <c r="D70" s="200"/>
      <c r="E70" s="201">
        <f>E67-E69</f>
        <v>2218495.8999999994</v>
      </c>
      <c r="F70" s="201">
        <f>F67-F69</f>
        <v>1107607.8999999994</v>
      </c>
      <c r="G70" s="201">
        <f>G67-G69</f>
        <v>302912.89999999944</v>
      </c>
      <c r="H70" s="201">
        <f t="shared" ref="H70:J70" si="15">H67-H69</f>
        <v>129315.89999999944</v>
      </c>
      <c r="I70" s="201">
        <f t="shared" si="15"/>
        <v>451336.25</v>
      </c>
      <c r="J70" s="201">
        <f t="shared" si="15"/>
        <v>1469538.3999999994</v>
      </c>
      <c r="K70" s="42"/>
      <c r="L70" s="85"/>
      <c r="M70" s="42"/>
      <c r="N70" s="42"/>
      <c r="O70" s="42"/>
      <c r="P70" s="42"/>
    </row>
    <row r="71" spans="1:250" s="42" customFormat="1" ht="14.25" hidden="1" customHeight="1" x14ac:dyDescent="0.2">
      <c r="A71" s="123" t="s">
        <v>43</v>
      </c>
      <c r="B71" s="123"/>
      <c r="C71" s="123"/>
      <c r="D71" s="123"/>
      <c r="E71" s="123"/>
      <c r="F71" s="123"/>
      <c r="G71" s="123"/>
      <c r="H71" s="123"/>
      <c r="I71" s="123"/>
      <c r="J71" s="123"/>
      <c r="IG71" s="43"/>
      <c r="IH71" s="43"/>
      <c r="II71" s="43"/>
      <c r="IJ71" s="43"/>
      <c r="IK71" s="43"/>
      <c r="IL71" s="43"/>
      <c r="IM71" s="43"/>
      <c r="IN71" s="43"/>
      <c r="IO71" s="43"/>
      <c r="IP71" s="43"/>
    </row>
    <row r="72" spans="1:250" s="113" customFormat="1" ht="15" hidden="1" x14ac:dyDescent="0.2">
      <c r="A72" s="122" t="s">
        <v>53</v>
      </c>
      <c r="B72" s="122"/>
      <c r="C72" s="122"/>
      <c r="D72" s="122"/>
      <c r="E72" s="122"/>
      <c r="F72" s="122"/>
      <c r="G72" s="122"/>
      <c r="H72" s="12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3"/>
      <c r="IH72" s="43"/>
      <c r="II72" s="43"/>
      <c r="IJ72" s="43"/>
      <c r="IK72" s="43"/>
      <c r="IL72" s="43"/>
      <c r="IM72" s="43"/>
      <c r="IN72" s="43"/>
      <c r="IO72" s="43"/>
      <c r="IP72" s="43"/>
    </row>
    <row r="73" spans="1:250" s="42" customFormat="1" ht="14.25" hidden="1" customHeight="1" x14ac:dyDescent="0.2">
      <c r="A73" s="123" t="s">
        <v>61</v>
      </c>
      <c r="B73" s="123"/>
      <c r="C73" s="123"/>
      <c r="D73" s="123"/>
      <c r="E73" s="123"/>
      <c r="F73" s="123"/>
      <c r="G73" s="123"/>
      <c r="H73" s="123"/>
      <c r="I73" s="123"/>
      <c r="J73" s="123"/>
      <c r="IG73" s="43"/>
      <c r="IH73" s="43"/>
      <c r="II73" s="43"/>
      <c r="IJ73" s="43"/>
      <c r="IK73" s="43"/>
      <c r="IL73" s="43"/>
      <c r="IM73" s="43"/>
      <c r="IN73" s="43"/>
      <c r="IO73" s="43"/>
      <c r="IP73" s="43"/>
    </row>
    <row r="74" spans="1:250" s="113" customFormat="1" ht="14.25" hidden="1" customHeight="1" x14ac:dyDescent="0.2">
      <c r="A74" s="122" t="s">
        <v>55</v>
      </c>
      <c r="B74" s="122"/>
      <c r="C74" s="122"/>
      <c r="D74" s="122"/>
      <c r="E74" s="122"/>
      <c r="F74" s="122"/>
      <c r="G74" s="122"/>
      <c r="H74" s="122"/>
      <c r="I74" s="130"/>
      <c r="J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0"/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0"/>
      <c r="FL74" s="130"/>
      <c r="FM74" s="130"/>
      <c r="FN74" s="130"/>
      <c r="FO74" s="130"/>
      <c r="FP74" s="130"/>
      <c r="FQ74" s="130"/>
      <c r="FR74" s="130"/>
      <c r="FS74" s="130"/>
      <c r="FT74" s="130"/>
      <c r="FU74" s="130"/>
      <c r="FV74" s="130"/>
      <c r="FW74" s="130"/>
      <c r="FX74" s="130"/>
      <c r="FY74" s="130"/>
      <c r="FZ74" s="130"/>
      <c r="GA74" s="130"/>
      <c r="GB74" s="130"/>
      <c r="GC74" s="130"/>
      <c r="GD74" s="130"/>
      <c r="GE74" s="130"/>
      <c r="GF74" s="130"/>
      <c r="GG74" s="130"/>
      <c r="GH74" s="130"/>
      <c r="GI74" s="130"/>
      <c r="GJ74" s="130"/>
      <c r="GK74" s="130"/>
      <c r="GL74" s="130"/>
      <c r="GM74" s="130"/>
      <c r="GN74" s="130"/>
      <c r="GO74" s="130"/>
      <c r="GP74" s="130"/>
      <c r="GQ74" s="130"/>
      <c r="GR74" s="130"/>
      <c r="GS74" s="130"/>
      <c r="GT74" s="130"/>
      <c r="GU74" s="130"/>
      <c r="GV74" s="130"/>
      <c r="GW74" s="130"/>
      <c r="GX74" s="130"/>
      <c r="GY74" s="130"/>
      <c r="GZ74" s="130"/>
      <c r="HA74" s="130"/>
      <c r="HB74" s="130"/>
      <c r="HC74" s="130"/>
      <c r="HD74" s="130"/>
      <c r="HE74" s="130"/>
      <c r="HF74" s="130"/>
      <c r="HG74" s="130"/>
      <c r="HH74" s="130"/>
      <c r="HI74" s="130"/>
      <c r="HJ74" s="130"/>
      <c r="HK74" s="130"/>
      <c r="HL74" s="130"/>
      <c r="HM74" s="130"/>
      <c r="HN74" s="130"/>
      <c r="HO74" s="130"/>
      <c r="HP74" s="130"/>
      <c r="HQ74" s="130"/>
      <c r="HR74" s="130"/>
      <c r="HS74" s="130"/>
      <c r="HT74" s="130"/>
      <c r="HU74" s="130"/>
      <c r="HV74" s="130"/>
      <c r="HW74" s="130"/>
      <c r="HX74" s="130"/>
      <c r="HY74" s="130"/>
      <c r="HZ74" s="130"/>
      <c r="IA74" s="130"/>
      <c r="IB74" s="130"/>
      <c r="IC74" s="130"/>
      <c r="ID74" s="130"/>
      <c r="IE74" s="130"/>
      <c r="IF74" s="130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</row>
    <row r="75" spans="1:250" s="43" customFormat="1" ht="14.25" hidden="1" customHeight="1" x14ac:dyDescent="0.2">
      <c r="A75" s="132" t="s">
        <v>56</v>
      </c>
      <c r="B75" s="133"/>
      <c r="C75" s="134"/>
      <c r="D75" s="135"/>
      <c r="E75" s="130"/>
      <c r="F75" s="130"/>
      <c r="G75" s="130"/>
      <c r="H75" s="130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</row>
    <row r="76" spans="1:250" s="43" customFormat="1" ht="14.25" hidden="1" customHeight="1" x14ac:dyDescent="0.2">
      <c r="A76" s="42" t="s">
        <v>70</v>
      </c>
      <c r="B76" s="42"/>
      <c r="C76" s="42"/>
      <c r="D76" s="136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</row>
    <row r="77" spans="1:250" s="43" customFormat="1" ht="14.25" hidden="1" customHeight="1" x14ac:dyDescent="0.2">
      <c r="A77" s="132" t="s">
        <v>57</v>
      </c>
      <c r="B77" s="42"/>
      <c r="C77" s="42"/>
      <c r="D77" s="136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</row>
    <row r="78" spans="1:250" s="43" customFormat="1" ht="12.75" hidden="1" customHeight="1" x14ac:dyDescent="0.2">
      <c r="A78" s="380" t="s">
        <v>58</v>
      </c>
      <c r="B78" s="380"/>
      <c r="C78" s="380"/>
      <c r="D78" s="380"/>
      <c r="E78" s="380"/>
      <c r="F78" s="380"/>
      <c r="G78" s="380"/>
      <c r="H78" s="380"/>
      <c r="I78" s="380"/>
      <c r="J78" s="230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</row>
    <row r="79" spans="1:250" hidden="1" x14ac:dyDescent="0.2">
      <c r="A79" s="121"/>
      <c r="B79" s="121"/>
      <c r="C79" s="121"/>
      <c r="D79" s="121"/>
      <c r="E79" s="121"/>
      <c r="F79" s="121"/>
      <c r="G79" s="121"/>
      <c r="H79" s="121"/>
      <c r="I79" s="121"/>
      <c r="J79" s="121"/>
    </row>
    <row r="80" spans="1:250" ht="12.75" hidden="1" customHeight="1" x14ac:dyDescent="0.2">
      <c r="A80" s="120" t="s">
        <v>31</v>
      </c>
      <c r="B80" s="118"/>
      <c r="C80" s="118"/>
      <c r="D80" s="119"/>
      <c r="E80" s="118"/>
      <c r="F80" s="118"/>
      <c r="G80" s="118"/>
      <c r="H80" s="118"/>
      <c r="I80" s="118"/>
      <c r="J80" s="118"/>
    </row>
    <row r="81" spans="1:10" ht="12.75" hidden="1" customHeight="1" x14ac:dyDescent="0.2">
      <c r="A81" s="5" t="s">
        <v>32</v>
      </c>
      <c r="B81" s="118"/>
      <c r="C81" s="118"/>
      <c r="D81" s="119"/>
      <c r="E81" s="118"/>
      <c r="F81" s="118"/>
      <c r="G81" s="118"/>
      <c r="H81" s="118"/>
      <c r="I81" s="118"/>
      <c r="J81" s="118"/>
    </row>
    <row r="82" spans="1:10" ht="12.75" hidden="1" customHeight="1" x14ac:dyDescent="0.2">
      <c r="A82" s="5" t="s">
        <v>33</v>
      </c>
      <c r="B82" s="118"/>
      <c r="C82" s="118"/>
      <c r="D82" s="119"/>
      <c r="E82" s="118"/>
      <c r="F82" s="118"/>
      <c r="G82" s="118"/>
      <c r="H82" s="118"/>
      <c r="I82" s="118"/>
      <c r="J82" s="118"/>
    </row>
    <row r="83" spans="1:10" ht="12.75" hidden="1" customHeight="1" x14ac:dyDescent="0.2">
      <c r="A83" s="5" t="s">
        <v>34</v>
      </c>
      <c r="B83" s="118"/>
      <c r="C83" s="118"/>
      <c r="D83" s="119"/>
      <c r="E83" s="118"/>
      <c r="F83" s="118"/>
      <c r="G83" s="118"/>
      <c r="H83" s="118"/>
      <c r="I83" s="118"/>
      <c r="J83" s="118"/>
    </row>
    <row r="84" spans="1:10" ht="12.75" hidden="1" customHeight="1" x14ac:dyDescent="0.2">
      <c r="A84" s="5" t="s">
        <v>35</v>
      </c>
      <c r="B84" s="118"/>
      <c r="C84" s="118"/>
      <c r="D84" s="119"/>
      <c r="E84" s="118"/>
      <c r="F84" s="118"/>
      <c r="G84" s="118"/>
      <c r="H84" s="118"/>
      <c r="I84" s="118"/>
      <c r="J84" s="118"/>
    </row>
    <row r="85" spans="1:10" ht="12.75" hidden="1" customHeight="1" x14ac:dyDescent="0.2">
      <c r="A85" s="5" t="s">
        <v>36</v>
      </c>
      <c r="B85" s="118"/>
      <c r="C85" s="118"/>
      <c r="D85" s="119"/>
      <c r="E85" s="118"/>
      <c r="F85" s="118"/>
      <c r="G85" s="118"/>
      <c r="H85" s="118"/>
      <c r="I85" s="118"/>
      <c r="J85" s="118"/>
    </row>
    <row r="86" spans="1:10" ht="12.75" hidden="1" customHeight="1" x14ac:dyDescent="0.2">
      <c r="A86" s="5" t="s">
        <v>37</v>
      </c>
      <c r="B86" s="118"/>
      <c r="C86" s="118"/>
      <c r="D86" s="119"/>
      <c r="E86" s="118"/>
      <c r="F86" s="118"/>
      <c r="G86" s="118"/>
      <c r="H86" s="118"/>
      <c r="I86" s="118"/>
      <c r="J86" s="118"/>
    </row>
    <row r="87" spans="1:10" hidden="1" x14ac:dyDescent="0.2">
      <c r="D87" s="116"/>
    </row>
    <row r="88" spans="1:10" hidden="1" x14ac:dyDescent="0.2">
      <c r="A88" s="114" t="s">
        <v>38</v>
      </c>
      <c r="D88" s="116"/>
    </row>
    <row r="89" spans="1:10" hidden="1" x14ac:dyDescent="0.2">
      <c r="A89" s="19" t="s">
        <v>39</v>
      </c>
      <c r="D89" s="116"/>
    </row>
    <row r="90" spans="1:10" hidden="1" x14ac:dyDescent="0.2">
      <c r="A90" s="19" t="s">
        <v>40</v>
      </c>
      <c r="D90" s="116"/>
    </row>
    <row r="91" spans="1:10" hidden="1" x14ac:dyDescent="0.2">
      <c r="A91" s="19" t="s">
        <v>41</v>
      </c>
      <c r="D91" s="116"/>
    </row>
    <row r="92" spans="1:10" hidden="1" x14ac:dyDescent="0.2"/>
  </sheetData>
  <sheetProtection selectLockedCells="1" selectUnlockedCells="1"/>
  <mergeCells count="1">
    <mergeCell ref="A78:I78"/>
  </mergeCells>
  <printOptions horizontalCentered="1"/>
  <pageMargins left="0.7" right="0.7" top="0.75" bottom="0.75" header="0.3" footer="0.3"/>
  <pageSetup scale="75" firstPageNumber="0" orientation="portrait" cellComments="atEnd" r:id="rId1"/>
  <headerFooter alignWithMargins="0">
    <oddHeader>&amp;C&amp;14Humboldt State University
Budget Proposal Planning for FY13-14 Budget</oddHeader>
    <oddFooter>&amp;L&amp;"Arial Narrow,Regular"&amp;8&amp;D &amp;T&amp;C&amp;"Arial Narrow,Regular"&amp;8&amp;P&amp;R&amp;"Arial Narrow,Regular"&amp;8&amp;F  &amp;A</oddFooter>
  </headerFooter>
  <rowBreaks count="1" manualBreakCount="1">
    <brk id="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2013-14 LOW</vt:lpstr>
      <vt:lpstr>2013-14 HIGH</vt:lpstr>
      <vt:lpstr>Initiative-Reserve Proj ACTIVE</vt:lpstr>
      <vt:lpstr>2014-15 Planning ACTIVE</vt:lpstr>
      <vt:lpstr>Enrollment Growth</vt:lpstr>
      <vt:lpstr>Enrollment</vt:lpstr>
      <vt:lpstr>2013-14 Best Guess (70%,20%)</vt:lpstr>
      <vt:lpstr>2013-14 Best Guess front load</vt:lpstr>
      <vt:lpstr>2013-14 Best Guess built out</vt:lpstr>
      <vt:lpstr>2013-14 B</vt:lpstr>
      <vt:lpstr>2013-14 C</vt:lpstr>
      <vt:lpstr>t</vt:lpstr>
      <vt:lpstr>2013-14 D Best Guess No CSU EG</vt:lpstr>
      <vt:lpstr>'2013-14 B'!Print_Area</vt:lpstr>
      <vt:lpstr>'2013-14 Best Guess (70%,20%)'!Print_Area</vt:lpstr>
      <vt:lpstr>'2013-14 Best Guess built out'!Print_Area</vt:lpstr>
      <vt:lpstr>'2013-14 Best Guess front load'!Print_Area</vt:lpstr>
      <vt:lpstr>'2013-14 C'!Print_Area</vt:lpstr>
      <vt:lpstr>'2013-14 D Best Guess No CSU EG'!Print_Area</vt:lpstr>
      <vt:lpstr>'2013-14 HIGH'!Print_Area</vt:lpstr>
      <vt:lpstr>'2013-14 LOW'!Print_Area</vt:lpstr>
      <vt:lpstr>'2014-15 Planning ACTIVE'!Print_Area</vt:lpstr>
      <vt:lpstr>'Initiative-Reserve Proj ACTIVE'!Print_Area</vt:lpstr>
      <vt:lpstr>'2013-14 B'!Print_Titles</vt:lpstr>
      <vt:lpstr>'2013-14 Best Guess (70%,20%)'!Print_Titles</vt:lpstr>
      <vt:lpstr>'2013-14 Best Guess built out'!Print_Titles</vt:lpstr>
      <vt:lpstr>'2013-14 Best Guess front load'!Print_Titles</vt:lpstr>
      <vt:lpstr>'2013-14 C'!Print_Titles</vt:lpstr>
      <vt:lpstr>'2013-14 D Best Guess No CSU EG'!Print_Titles</vt:lpstr>
      <vt:lpstr>'2013-14 HIGH'!Print_Titles</vt:lpstr>
      <vt:lpstr>'2013-14 LOW'!Print_Titles</vt:lpstr>
      <vt:lpstr>'2014-15 Planning ACTIVE'!Print_Titles</vt:lpstr>
      <vt:lpstr>'Initiative-Reserve Proj ACTIVE'!Print_Titles</vt:lpstr>
    </vt:vector>
  </TitlesOfParts>
  <Company>Humboldt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Blakeslee</dc:creator>
  <cp:lastModifiedBy>mbs7001</cp:lastModifiedBy>
  <cp:lastPrinted>2014-02-07T20:21:53Z</cp:lastPrinted>
  <dcterms:created xsi:type="dcterms:W3CDTF">2013-02-14T22:06:06Z</dcterms:created>
  <dcterms:modified xsi:type="dcterms:W3CDTF">2014-02-11T21:41:22Z</dcterms:modified>
</cp:coreProperties>
</file>